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updateLinks="never" codeName="ThisWorkbook" defaultThemeVersion="124226"/>
  <bookViews>
    <workbookView xWindow="9705" yWindow="285" windowWidth="9510" windowHeight="10785" tabRatio="550" firstSheet="2" activeTab="4"/>
  </bookViews>
  <sheets>
    <sheet name="Cover Sheet" sheetId="1" r:id="rId1"/>
    <sheet name="PR_Programmatic Progress_1A" sheetId="2" r:id="rId2"/>
    <sheet name="PR_Programmatic Progress_1B" sheetId="3" r:id="rId3"/>
    <sheet name="PR_Grant Management_2" sheetId="4" r:id="rId4"/>
    <sheet name="PR_Total PR Cash Outflow_3A" sheetId="33" r:id="rId5"/>
    <sheet name="EFR HIV AIDS Financial Data_3B" sheetId="57" state="hidden" r:id="rId6"/>
    <sheet name="PR_Procurement Info_4" sheetId="38" r:id="rId7"/>
    <sheet name="PR_Cash Reconciliation_5A" sheetId="34" r:id="rId8"/>
    <sheet name="PR_Disbursement Request_5B" sheetId="36" r:id="rId9"/>
    <sheet name="PR_Overall Performance_6" sheetId="30" r:id="rId10"/>
    <sheet name="PR_Cash Request_7A&amp;B" sheetId="7" r:id="rId11"/>
    <sheet name="PR_Bank Details_7C" sheetId="45" r:id="rId12"/>
    <sheet name="PR_Annex_SR-Financials" sheetId="42" r:id="rId13"/>
    <sheet name="Checklist" sheetId="44" r:id="rId14"/>
    <sheet name="LFA_Programmatic Progress_1A" sheetId="9" r:id="rId15"/>
    <sheet name="LFA_Programmatic Progress_1B" sheetId="10" r:id="rId16"/>
    <sheet name="ANNEXURE A (RATING)" sheetId="70" r:id="rId17"/>
    <sheet name="LFA_Grant Management_2" sheetId="11" r:id="rId18"/>
    <sheet name="LFA_Total PR Cash Outflow_3A" sheetId="12" r:id="rId19"/>
    <sheet name="LFA_EFR Review_3B" sheetId="50" r:id="rId20"/>
    <sheet name="LFA_Procurement Info_4" sheetId="39" r:id="rId21"/>
    <sheet name="LFA_Findings&amp;Recommendations" sheetId="41" r:id="rId22"/>
    <sheet name="LFA_Cash Reconciliation_5A" sheetId="25" r:id="rId23"/>
    <sheet name="Annexure_B_Cashflow" sheetId="68" r:id="rId24"/>
    <sheet name="LFA_Disbursement Recommend_5B" sheetId="37" r:id="rId25"/>
    <sheet name="Sheet1" sheetId="22" state="hidden" r:id="rId26"/>
    <sheet name="LFA_Overall Performance_6" sheetId="13" r:id="rId27"/>
    <sheet name="LFA_DisbursementRecommendation7" sheetId="16" r:id="rId28"/>
    <sheet name="LFA_Bank Details_7C" sheetId="51" r:id="rId29"/>
    <sheet name="LFA_Annex-SR Financials" sheetId="43" r:id="rId30"/>
    <sheet name="Annexure_D_CuuVAR " sheetId="66" r:id="rId31"/>
    <sheet name="Annexure_C_CurVAR" sheetId="67" r:id="rId32"/>
    <sheet name="Memo HIV" sheetId="19" state="hidden" r:id="rId33"/>
    <sheet name="Memo TB" sheetId="20" state="hidden" r:id="rId34"/>
    <sheet name="Memo Malaria" sheetId="21" state="hidden" r:id="rId35"/>
    <sheet name="Definitions-lists-EFR" sheetId="62" state="hidden" r:id="rId36"/>
    <sheet name="Sheet2" sheetId="63" state="hidden" r:id="rId37"/>
  </sheets>
  <externalReferences>
    <externalReference r:id="rId38"/>
    <externalReference r:id="rId39"/>
    <externalReference r:id="rId40"/>
    <externalReference r:id="rId41"/>
    <externalReference r:id="rId42"/>
    <externalReference r:id="rId43"/>
    <externalReference r:id="rId44"/>
    <externalReference r:id="rId45"/>
  </externalReferences>
  <definedNames>
    <definedName name="_xlnm._FilterDatabase" localSheetId="31" hidden="1">Annexure_C_CurVAR!$C$3:$G$28</definedName>
    <definedName name="_xlnm._FilterDatabase" localSheetId="30" hidden="1">'Annexure_D_CuuVAR '!$A$2:$C$103</definedName>
    <definedName name="E">'Memo HIV'!$F$3</definedName>
    <definedName name="ES">'Memo HIV'!$F$4</definedName>
    <definedName name="HIVII">'Memo HIV'!$B$2:$B$8</definedName>
    <definedName name="HIVOI">'Memo HIV'!$D$2:$D$15</definedName>
    <definedName name="HIVSDA" localSheetId="31">'[1]Memo HIV'!$A$2:$A$26</definedName>
    <definedName name="HIVSDA" localSheetId="30">'[1]Memo HIV'!$A$2:$A$26</definedName>
    <definedName name="HIVSDA">'Memo HIV'!$A$2:$A$26</definedName>
    <definedName name="HIVSource">'Memo HIV'!$E$2:$E$22</definedName>
    <definedName name="LFA_SDA" localSheetId="31">'[1]LFA_Programmatic Progress_1B'!#REF!</definedName>
    <definedName name="LFA_SDA" localSheetId="30">'[1]LFA_Programmatic Progress_1B'!#REF!</definedName>
    <definedName name="LFA_SDA" localSheetId="19">#REF!</definedName>
    <definedName name="LFA_SDA" localSheetId="11">'[2]LFA_Programmatic Progress_1B'!#REF!</definedName>
    <definedName name="LFA_SDA" localSheetId="4">#REF!</definedName>
    <definedName name="LFA_SDA">'LFA_Programmatic Progress_1B'!#REF!</definedName>
    <definedName name="LFASig" localSheetId="31">#REF!</definedName>
    <definedName name="LFASig" localSheetId="30">#REF!</definedName>
    <definedName name="LFASig" localSheetId="19">#REF!</definedName>
    <definedName name="LFASig" localSheetId="11">'[2]LFA_Signature (image)'!$B$2</definedName>
    <definedName name="LFASig" localSheetId="4">#REF!</definedName>
    <definedName name="LFASig">#REF!</definedName>
    <definedName name="list" localSheetId="31">#REF!</definedName>
    <definedName name="list" localSheetId="30">#REF!</definedName>
    <definedName name="list">#REF!</definedName>
    <definedName name="List_IE" localSheetId="31">'[1]Definitions-lists-EFR'!$A$58:$A$65</definedName>
    <definedName name="List_IE" localSheetId="30">'[1]Definitions-lists-EFR'!$A$58:$A$65</definedName>
    <definedName name="List_IE">'Definitions-lists-EFR'!$A$58:$A$65</definedName>
    <definedName name="list1" localSheetId="31">#REF!</definedName>
    <definedName name="list1" localSheetId="30">#REF!</definedName>
    <definedName name="list1">#REF!</definedName>
    <definedName name="list2" localSheetId="31">#REF!</definedName>
    <definedName name="list2" localSheetId="30">#REF!</definedName>
    <definedName name="list2">#REF!</definedName>
    <definedName name="listH" localSheetId="31">#REF!</definedName>
    <definedName name="listH" localSheetId="30">#REF!</definedName>
    <definedName name="listH">#REF!</definedName>
    <definedName name="ListHIV" localSheetId="31">'[1]Definitions-lists-EFR'!$A$1:$A$7</definedName>
    <definedName name="ListHIV" localSheetId="30">'[1]Definitions-lists-EFR'!$A$1:$A$7</definedName>
    <definedName name="ListHIV">'Definitions-lists-EFR'!$A$1:$A$7</definedName>
    <definedName name="listie" localSheetId="31">#REF!</definedName>
    <definedName name="listie" localSheetId="30">#REF!</definedName>
    <definedName name="listie">#REF!</definedName>
    <definedName name="listmac" localSheetId="31">#REF!</definedName>
    <definedName name="listmac" localSheetId="30">#REF!</definedName>
    <definedName name="listmac">#REF!</definedName>
    <definedName name="ListMal">'Definitions-lists-EFR'!$A$21:$A$25</definedName>
    <definedName name="listnew" localSheetId="31">#REF!</definedName>
    <definedName name="listnew" localSheetId="30">#REF!</definedName>
    <definedName name="listnew">#REF!</definedName>
    <definedName name="listS" localSheetId="31">#REF!</definedName>
    <definedName name="listS" localSheetId="30">#REF!</definedName>
    <definedName name="listS">#REF!</definedName>
    <definedName name="listsda" localSheetId="31">#REF!</definedName>
    <definedName name="listsda" localSheetId="30">#REF!</definedName>
    <definedName name="listsda">#REF!</definedName>
    <definedName name="listsdah" localSheetId="31">#REF!</definedName>
    <definedName name="listsdah" localSheetId="30">#REF!</definedName>
    <definedName name="listsdah">#REF!</definedName>
    <definedName name="listsdahiv" localSheetId="31">#REF!</definedName>
    <definedName name="listsdahiv" localSheetId="30">#REF!</definedName>
    <definedName name="listsdahiv">#REF!</definedName>
    <definedName name="listsdahiv1" localSheetId="31">#REF!</definedName>
    <definedName name="listsdahiv1" localSheetId="30">#REF!</definedName>
    <definedName name="listsdahiv1">#REF!</definedName>
    <definedName name="listsdam">[3]Definitions!$C$28:$C$50</definedName>
    <definedName name="listsdat" localSheetId="31">#REF!</definedName>
    <definedName name="listsdat" localSheetId="30">#REF!</definedName>
    <definedName name="listsdat">#REF!</definedName>
    <definedName name="listsdat1">[4]Definitions!$C$39:$C$54</definedName>
    <definedName name="listserv" localSheetId="31">#REF!</definedName>
    <definedName name="listserv" localSheetId="30">#REF!</definedName>
    <definedName name="listserv">#REF!</definedName>
    <definedName name="ListTB">'Definitions-lists-EFR'!$A$39:$A$44</definedName>
    <definedName name="MalariaII">'Memo Malaria'!$B$2:$B$10</definedName>
    <definedName name="MalariaOI">'Memo Malaria'!$D$2:$D$10</definedName>
    <definedName name="MalariaSDA">'Memo Malaria'!$A$2:$A$24</definedName>
    <definedName name="MalariaSource">'Memo Malaria'!$E$2:$E$25</definedName>
    <definedName name="Please_Select">'Memo Malaria'!$A$3:$A$14</definedName>
    <definedName name="PR_SDA" localSheetId="31">'[1]LFA_Programmatic Progress_1A'!#REF!</definedName>
    <definedName name="PR_SDA" localSheetId="30">'[1]LFA_Programmatic Progress_1A'!#REF!</definedName>
    <definedName name="PR_SDA" localSheetId="19">#REF!</definedName>
    <definedName name="PR_SDA" localSheetId="11">'[2]LFA_Programmatic Progress_1A'!#REF!</definedName>
    <definedName name="PR_SDA" localSheetId="2">'PR_Programmatic Progress_1B'!$C$12:$C$38</definedName>
    <definedName name="PR_SDA" localSheetId="4">#REF!</definedName>
    <definedName name="PR_SDA">'LFA_Programmatic Progress_1A'!#REF!</definedName>
    <definedName name="_xlnm.Print_Area" localSheetId="23">Annexure_B_Cashflow!$A$1:$G$16</definedName>
    <definedName name="_xlnm.Print_Area" localSheetId="13">Checklist!$A$1:$E$33</definedName>
    <definedName name="_xlnm.Print_Area" localSheetId="0">'Cover Sheet'!$A$1:$D$19</definedName>
    <definedName name="_xlnm.Print_Area" localSheetId="5">'EFR HIV AIDS Financial Data_3B'!$A$1:$M$75</definedName>
    <definedName name="_xlnm.Print_Area" localSheetId="29">'LFA_Annex-SR Financials'!$A$1:$R$27</definedName>
    <definedName name="_xlnm.Print_Area" localSheetId="28">'LFA_Bank Details_7C'!$A$1:$F$81</definedName>
    <definedName name="_xlnm.Print_Area" localSheetId="22">'LFA_Cash Reconciliation_5A'!$A$1:$K$25</definedName>
    <definedName name="_xlnm.Print_Area" localSheetId="24">'LFA_Disbursement Recommend_5B'!$A$1:$S$56</definedName>
    <definedName name="_xlnm.Print_Area" localSheetId="27">LFA_DisbursementRecommendation7!$A$1:$P$65</definedName>
    <definedName name="_xlnm.Print_Area" localSheetId="19">'LFA_EFR Review_3B'!$A$1:$K$52</definedName>
    <definedName name="_xlnm.Print_Area" localSheetId="21">'LFA_Findings&amp;Recommendations'!$A$1:$K$30</definedName>
    <definedName name="_xlnm.Print_Area" localSheetId="17">'LFA_Grant Management_2'!$A$1:$L$50</definedName>
    <definedName name="_xlnm.Print_Area" localSheetId="26">'LFA_Overall Performance_6'!$A$1:$K$26</definedName>
    <definedName name="_xlnm.Print_Area" localSheetId="20">'LFA_Procurement Info_4'!$A$1:$K$33</definedName>
    <definedName name="_xlnm.Print_Area" localSheetId="14">'LFA_Programmatic Progress_1A'!$A$1:$S$37</definedName>
    <definedName name="_xlnm.Print_Area" localSheetId="18">'LFA_Total PR Cash Outflow_3A'!$A$1:$K$26</definedName>
    <definedName name="_xlnm.Print_Area" localSheetId="32">'Memo HIV'!$A$1:$J$32</definedName>
    <definedName name="_xlnm.Print_Area" localSheetId="34">'Memo Malaria'!$A$1:$F$25</definedName>
    <definedName name="_xlnm.Print_Area" localSheetId="33">'Memo TB'!$A$1:$F$17</definedName>
    <definedName name="_xlnm.Print_Area" localSheetId="12">'PR_Annex_SR-Financials'!$A$1:$Q$40</definedName>
    <definedName name="_xlnm.Print_Area" localSheetId="11">'PR_Bank Details_7C'!$A$1:$G$82</definedName>
    <definedName name="_xlnm.Print_Area" localSheetId="7">'PR_Cash Reconciliation_5A'!$A$1:$M$33</definedName>
    <definedName name="_xlnm.Print_Area" localSheetId="10">'PR_Cash Request_7A&amp;B'!$A$1:$M$40</definedName>
    <definedName name="_xlnm.Print_Area" localSheetId="8">'PR_Disbursement Request_5B'!$A$1:$T$46</definedName>
    <definedName name="_xlnm.Print_Area" localSheetId="3">'PR_Grant Management_2'!$A$1:$L$58</definedName>
    <definedName name="_xlnm.Print_Area" localSheetId="9">'PR_Overall Performance_6'!$A$1:$P$31</definedName>
    <definedName name="_xlnm.Print_Area" localSheetId="6">'PR_Procurement Info_4'!$A$1:$L$16</definedName>
    <definedName name="_xlnm.Print_Area" localSheetId="1">'PR_Programmatic Progress_1A'!$A$1:$P$36</definedName>
    <definedName name="_xlnm.Print_Area" localSheetId="2">'PR_Programmatic Progress_1B'!$A$1:$P$43</definedName>
    <definedName name="_xlnm.Print_Area" localSheetId="4">'PR_Total PR Cash Outflow_3A'!$A$1:$K$19</definedName>
    <definedName name="_xlnm.Print_Titles" localSheetId="29">'LFA_Annex-SR Financials'!$14:$14</definedName>
    <definedName name="_xlnm.Print_Titles" localSheetId="22">'LFA_Cash Reconciliation_5A'!$8:$13</definedName>
    <definedName name="_xlnm.Print_Titles" localSheetId="24">'LFA_Disbursement Recommend_5B'!$9:$9</definedName>
    <definedName name="_xlnm.Print_Titles" localSheetId="27">LFA_DisbursementRecommendation7!$16:$16</definedName>
    <definedName name="_xlnm.Print_Titles" localSheetId="21">'LFA_Findings&amp;Recommendations'!$9:$13</definedName>
    <definedName name="_xlnm.Print_Titles" localSheetId="17">'LFA_Grant Management_2'!$8:$8</definedName>
    <definedName name="_xlnm.Print_Titles" localSheetId="26">'LFA_Overall Performance_6'!$8:$8</definedName>
    <definedName name="_xlnm.Print_Titles" localSheetId="20">'LFA_Procurement Info_4'!$8:$8</definedName>
    <definedName name="_xlnm.Print_Titles" localSheetId="14">'LFA_Programmatic Progress_1A'!$22:$26</definedName>
    <definedName name="_xlnm.Print_Titles" localSheetId="12">'PR_Annex_SR-Financials'!$14:$14</definedName>
    <definedName name="_xlnm.Print_Titles" localSheetId="3">'PR_Grant Management_2'!$8:$8</definedName>
    <definedName name="_xlnm.Print_Titles" localSheetId="1">'PR_Programmatic Progress_1A'!$22:$26</definedName>
    <definedName name="_xlnm.Print_Titles" localSheetId="4">'PR_Total PR Cash Outflow_3A'!$9:$10</definedName>
    <definedName name="PS">'Memo HIV'!$F$5</definedName>
    <definedName name="SD" localSheetId="23">#REF!</definedName>
    <definedName name="SD" localSheetId="31">#REF!</definedName>
    <definedName name="SD" localSheetId="30">#REF!</definedName>
    <definedName name="SD">#REF!</definedName>
    <definedName name="SDA" localSheetId="23">#REF!</definedName>
    <definedName name="SDA" localSheetId="31">#REF!</definedName>
    <definedName name="SDA" localSheetId="30">#REF!</definedName>
    <definedName name="SDA">#REF!</definedName>
    <definedName name="SDAList">'Memo Malaria'!$A$3:$A$21</definedName>
    <definedName name="Select">'Memo HIV'!$J$2:$J$3</definedName>
    <definedName name="Sources" localSheetId="31">#REF!</definedName>
    <definedName name="Sources" localSheetId="30">#REF!</definedName>
    <definedName name="Sources" localSheetId="11">#REF!</definedName>
    <definedName name="Sources">#REF!</definedName>
    <definedName name="TBII">'Memo TB'!$B$2:$B$5</definedName>
    <definedName name="TBOI">'Memo TB'!$D$2:$D$5</definedName>
    <definedName name="TBSDA">'Memo TB'!$A$2:$A$17</definedName>
    <definedName name="TBSource">'Memo TB'!$E$2:$E$27</definedName>
    <definedName name="TEST" localSheetId="31">'[1]LFA_Programmatic Progress_1A'!#REF!</definedName>
    <definedName name="TEST" localSheetId="30">'[1]LFA_Programmatic Progress_1A'!#REF!</definedName>
    <definedName name="TEST" localSheetId="19">#REF!</definedName>
    <definedName name="TEST" localSheetId="11">'[2]LFA_Programmatic Progress_1A'!#REF!</definedName>
    <definedName name="TEST" localSheetId="2">'PR_Programmatic Progress_1B'!$C$12:$C$38</definedName>
    <definedName name="TEST" localSheetId="4">#REF!</definedName>
    <definedName name="TEST">'LFA_Programmatic Progress_1A'!#REF!</definedName>
    <definedName name="Timeframe" localSheetId="31">#REF!</definedName>
    <definedName name="Timeframe" localSheetId="30">#REF!</definedName>
    <definedName name="Timeframe" localSheetId="11">#REF!</definedName>
    <definedName name="Timeframe">#REF!</definedName>
    <definedName name="Z_E26F941C_F347_432D_B4B3_73B25F002075_.wvu.Cols" localSheetId="27" hidden="1">LFA_DisbursementRecommendation7!#REF!</definedName>
    <definedName name="Z_E26F941C_F347_432D_B4B3_73B25F002075_.wvu.Cols" localSheetId="17" hidden="1">'LFA_Grant Management_2'!$G:$H,'LFA_Grant Management_2'!#REF!</definedName>
    <definedName name="Z_E26F941C_F347_432D_B4B3_73B25F002075_.wvu.Cols" localSheetId="14" hidden="1">'LFA_Programmatic Progress_1A'!#REF!</definedName>
    <definedName name="Z_E26F941C_F347_432D_B4B3_73B25F002075_.wvu.Cols" localSheetId="15" hidden="1">'LFA_Programmatic Progress_1B'!#REF!</definedName>
    <definedName name="Z_E26F941C_F347_432D_B4B3_73B25F002075_.wvu.Cols" localSheetId="18" hidden="1">'LFA_Total PR Cash Outflow_3A'!#REF!</definedName>
    <definedName name="Z_E26F941C_F347_432D_B4B3_73B25F002075_.wvu.Cols" localSheetId="32" hidden="1">'Memo HIV'!$C:$C,'Memo HIV'!$F:$F</definedName>
    <definedName name="Z_E26F941C_F347_432D_B4B3_73B25F002075_.wvu.Cols" localSheetId="34" hidden="1">'Memo Malaria'!$C:$C</definedName>
    <definedName name="Z_E26F941C_F347_432D_B4B3_73B25F002075_.wvu.Cols" localSheetId="33" hidden="1">'Memo TB'!$C:$C</definedName>
    <definedName name="Z_E26F941C_F347_432D_B4B3_73B25F002075_.wvu.PrintArea" localSheetId="0" hidden="1">'Cover Sheet'!$A$1:$A$17</definedName>
    <definedName name="Z_E26F941C_F347_432D_B4B3_73B25F002075_.wvu.PrintArea" localSheetId="27" hidden="1">LFA_DisbursementRecommendation7!$A$1:$J$61</definedName>
    <definedName name="Z_E26F941C_F347_432D_B4B3_73B25F002075_.wvu.PrintArea" localSheetId="17" hidden="1">'LFA_Grant Management_2'!$A$1:$L$41</definedName>
    <definedName name="Z_E26F941C_F347_432D_B4B3_73B25F002075_.wvu.PrintArea" localSheetId="26" hidden="1">'LFA_Overall Performance_6'!$A$1:$K$22</definedName>
    <definedName name="Z_E26F941C_F347_432D_B4B3_73B25F002075_.wvu.PrintArea" localSheetId="14" hidden="1">'LFA_Programmatic Progress_1A'!$A$1:$R$36</definedName>
    <definedName name="Z_E26F941C_F347_432D_B4B3_73B25F002075_.wvu.PrintArea" localSheetId="15" hidden="1">'LFA_Programmatic Progress_1B'!$A$1:$O$23</definedName>
    <definedName name="Z_E26F941C_F347_432D_B4B3_73B25F002075_.wvu.PrintArea" localSheetId="18" hidden="1">'LFA_Total PR Cash Outflow_3A'!$A$1:$L$23</definedName>
    <definedName name="Z_E26F941C_F347_432D_B4B3_73B25F002075_.wvu.PrintArea" localSheetId="32" hidden="1">'Memo HIV'!$A$1:$J$32</definedName>
    <definedName name="Z_E26F941C_F347_432D_B4B3_73B25F002075_.wvu.PrintArea" localSheetId="34" hidden="1">'Memo Malaria'!$A$1:$F$25</definedName>
    <definedName name="Z_E26F941C_F347_432D_B4B3_73B25F002075_.wvu.PrintArea" localSheetId="33" hidden="1">'Memo TB'!$A$1:$F$17</definedName>
    <definedName name="Z_E26F941C_F347_432D_B4B3_73B25F002075_.wvu.PrintArea" localSheetId="10" hidden="1">'PR_Cash Request_7A&amp;B'!$A$1:$M$36</definedName>
    <definedName name="Z_E26F941C_F347_432D_B4B3_73B25F002075_.wvu.PrintArea" localSheetId="1" hidden="1">'PR_Programmatic Progress_1A'!$A$1:$P$36</definedName>
    <definedName name="Z_E26F941C_F347_432D_B4B3_73B25F002075_.wvu.PrintArea" localSheetId="2" hidden="1">'PR_Programmatic Progress_1B'!$A$1:$Q$37</definedName>
    <definedName name="Z_E26F941C_F347_432D_B4B3_73B25F002075_.wvu.PrintArea" localSheetId="4" hidden="1">'PR_Total PR Cash Outflow_3A'!$A$1:$J$20</definedName>
    <definedName name="Z_E26F941C_F347_432D_B4B3_73B25F002075_.wvu.Rows" localSheetId="34" hidden="1">'Memo Malaria'!$2:$2</definedName>
    <definedName name="Z_E26F941C_F347_432D_B4B3_73B25F002075_.wvu.Rows" localSheetId="33" hidden="1">'Memo TB'!$2:$2</definedName>
    <definedName name="Z_E26F941C_F347_432D_B4B3_73B25F002075_.wvu.Rows" localSheetId="1" hidden="1">'PR_Programmatic Progress_1A'!$2:$3</definedName>
  </definedNames>
  <calcPr calcId="145621"/>
  <customWorkbookViews>
    <customWorkbookView name="jinfanti - Personal View" guid="{E26F941C-F347-432D-B4B3-73B25F002075}" autoUpdate="1" mergeInterval="5" personalView="1" maximized="1" xWindow="1" yWindow="1" windowWidth="1280" windowHeight="803" tabRatio="792" activeSheetId="2" showComments="commIndAndComment"/>
  </customWorkbookViews>
</workbook>
</file>

<file path=xl/calcChain.xml><?xml version="1.0" encoding="utf-8"?>
<calcChain xmlns="http://schemas.openxmlformats.org/spreadsheetml/2006/main">
  <c r="N16" i="36" l="1"/>
  <c r="K16" i="36"/>
  <c r="M18" i="3" l="1"/>
  <c r="M22" i="3" l="1"/>
  <c r="M17" i="3"/>
  <c r="M12" i="3" l="1"/>
  <c r="I14" i="33" l="1"/>
  <c r="I13" i="33"/>
  <c r="H13" i="33" l="1"/>
  <c r="H14" i="33"/>
  <c r="U14" i="12"/>
  <c r="D55" i="70"/>
  <c r="D52" i="70"/>
  <c r="D51" i="70"/>
  <c r="K40" i="70"/>
  <c r="K39" i="70"/>
  <c r="K38" i="70"/>
  <c r="K37" i="70"/>
  <c r="K36" i="70"/>
  <c r="K35" i="70"/>
  <c r="K34" i="70"/>
  <c r="K33" i="70"/>
  <c r="K32" i="70"/>
  <c r="K31" i="70"/>
  <c r="K30" i="70"/>
  <c r="K29" i="70"/>
  <c r="K28" i="70"/>
  <c r="K27" i="70"/>
  <c r="K26" i="70"/>
  <c r="K25" i="70"/>
  <c r="K24" i="70"/>
  <c r="K23" i="70"/>
  <c r="K22" i="70"/>
  <c r="K21" i="70"/>
  <c r="K20" i="70"/>
  <c r="K19" i="70"/>
  <c r="K18" i="70"/>
  <c r="K17" i="70"/>
  <c r="K16" i="70"/>
  <c r="K15" i="70"/>
  <c r="K14" i="70"/>
  <c r="K13" i="70"/>
  <c r="K12" i="70"/>
  <c r="K11" i="70"/>
  <c r="K10" i="70"/>
  <c r="K9" i="70"/>
  <c r="K8" i="70"/>
  <c r="K6" i="70"/>
  <c r="K5" i="70"/>
  <c r="D59" i="70" s="1"/>
  <c r="D60" i="70" s="1"/>
  <c r="C41" i="67"/>
  <c r="C40" i="67"/>
  <c r="C34" i="67"/>
  <c r="C33" i="67"/>
  <c r="C37" i="67"/>
  <c r="D48" i="67"/>
  <c r="C48" i="67"/>
  <c r="D46" i="67"/>
  <c r="D47" i="67" s="1"/>
  <c r="C46" i="67"/>
  <c r="C47" i="67" s="1"/>
  <c r="C44" i="67"/>
  <c r="C42" i="67"/>
  <c r="E39" i="67"/>
  <c r="D41" i="67"/>
  <c r="D44" i="67" s="1"/>
  <c r="D34" i="67"/>
  <c r="D37" i="67" s="1"/>
  <c r="D33" i="67"/>
  <c r="D36" i="67" s="1"/>
  <c r="E32" i="67"/>
  <c r="D35" i="67" s="1"/>
  <c r="E41" i="67"/>
  <c r="E44" i="67" s="1"/>
  <c r="D114" i="66"/>
  <c r="C114" i="66"/>
  <c r="E112" i="66"/>
  <c r="E108" i="66"/>
  <c r="E109" i="66"/>
  <c r="E117" i="66" s="1"/>
  <c r="C110" i="66"/>
  <c r="D110" i="66"/>
  <c r="E6" i="68"/>
  <c r="X18" i="57"/>
  <c r="I15" i="12"/>
  <c r="I14" i="12"/>
  <c r="D15" i="68"/>
  <c r="D16" i="68" s="1"/>
  <c r="D9" i="68"/>
  <c r="D10" i="68"/>
  <c r="E10" i="68" s="1"/>
  <c r="D7" i="68"/>
  <c r="E5" i="68"/>
  <c r="F4" i="67"/>
  <c r="F5" i="67"/>
  <c r="F6" i="67"/>
  <c r="F7" i="67"/>
  <c r="G7" i="67" s="1"/>
  <c r="F8" i="67"/>
  <c r="G8" i="67" s="1"/>
  <c r="F9" i="67"/>
  <c r="G9" i="67" s="1"/>
  <c r="E10" i="67"/>
  <c r="D40" i="67"/>
  <c r="D43" i="67" s="1"/>
  <c r="F11" i="67"/>
  <c r="F12" i="67"/>
  <c r="F13" i="67"/>
  <c r="F14" i="67"/>
  <c r="F15" i="67"/>
  <c r="G15" i="67" s="1"/>
  <c r="F16" i="67"/>
  <c r="F17" i="67"/>
  <c r="G17" i="67" s="1"/>
  <c r="F18" i="67"/>
  <c r="G18" i="67" s="1"/>
  <c r="F19" i="67"/>
  <c r="G19" i="67" s="1"/>
  <c r="F20" i="67"/>
  <c r="G20" i="67" s="1"/>
  <c r="F21" i="67"/>
  <c r="F22" i="67"/>
  <c r="G22" i="67" s="1"/>
  <c r="F23" i="67"/>
  <c r="F24" i="67"/>
  <c r="G24" i="67" s="1"/>
  <c r="F25" i="67"/>
  <c r="G25" i="67" s="1"/>
  <c r="F26" i="67"/>
  <c r="F27" i="67"/>
  <c r="G27" i="67" s="1"/>
  <c r="D28" i="67"/>
  <c r="F5" i="66"/>
  <c r="I5" i="66"/>
  <c r="L5" i="66"/>
  <c r="O5" i="66"/>
  <c r="R5" i="66"/>
  <c r="U5" i="66"/>
  <c r="X5" i="66"/>
  <c r="Y5" i="66"/>
  <c r="Z5" i="66"/>
  <c r="U6" i="66"/>
  <c r="X6" i="66"/>
  <c r="Y6" i="66"/>
  <c r="Z6" i="66"/>
  <c r="U7" i="66"/>
  <c r="X7" i="66"/>
  <c r="Y7" i="66"/>
  <c r="Z7" i="66"/>
  <c r="U8" i="66"/>
  <c r="X8" i="66"/>
  <c r="Y8" i="66"/>
  <c r="Z8" i="66"/>
  <c r="U9" i="66"/>
  <c r="X9" i="66"/>
  <c r="Y9" i="66"/>
  <c r="Z9" i="66"/>
  <c r="U10" i="66"/>
  <c r="X10" i="66"/>
  <c r="Y10" i="66"/>
  <c r="Z10" i="66"/>
  <c r="F11" i="66"/>
  <c r="I11" i="66"/>
  <c r="L11" i="66"/>
  <c r="O11" i="66"/>
  <c r="R11" i="66"/>
  <c r="U11" i="66"/>
  <c r="X11" i="66"/>
  <c r="Y11" i="66"/>
  <c r="Z11" i="66"/>
  <c r="U12" i="66"/>
  <c r="X12" i="66"/>
  <c r="Y12" i="66"/>
  <c r="Z12" i="66"/>
  <c r="U13" i="66"/>
  <c r="X13" i="66"/>
  <c r="Y13" i="66"/>
  <c r="Z13" i="66"/>
  <c r="U14" i="66"/>
  <c r="X14" i="66"/>
  <c r="Y14" i="66"/>
  <c r="Z14" i="66"/>
  <c r="F15" i="66"/>
  <c r="I15" i="66"/>
  <c r="L15" i="66"/>
  <c r="O15" i="66"/>
  <c r="R15" i="66"/>
  <c r="U15" i="66"/>
  <c r="X15" i="66"/>
  <c r="Y15" i="66"/>
  <c r="AA15" i="66" s="1"/>
  <c r="AB15" i="66" s="1"/>
  <c r="Z15" i="66"/>
  <c r="F16" i="66"/>
  <c r="I16" i="66"/>
  <c r="L16" i="66"/>
  <c r="O16" i="66"/>
  <c r="R16" i="66"/>
  <c r="U16" i="66"/>
  <c r="X16" i="66"/>
  <c r="Y16" i="66"/>
  <c r="Z16" i="66"/>
  <c r="AA16" i="66" s="1"/>
  <c r="F17" i="66"/>
  <c r="I17" i="66"/>
  <c r="L17" i="66"/>
  <c r="O17" i="66"/>
  <c r="R17" i="66"/>
  <c r="U17" i="66"/>
  <c r="X17" i="66"/>
  <c r="Y17" i="66"/>
  <c r="Z17" i="66"/>
  <c r="F18" i="66"/>
  <c r="I18" i="66"/>
  <c r="L18" i="66"/>
  <c r="O18" i="66"/>
  <c r="R18" i="66"/>
  <c r="U18" i="66"/>
  <c r="X18" i="66"/>
  <c r="Y18" i="66"/>
  <c r="Z18" i="66"/>
  <c r="AA18" i="66" s="1"/>
  <c r="F19" i="66"/>
  <c r="I19" i="66"/>
  <c r="L19" i="66"/>
  <c r="O19" i="66"/>
  <c r="R19" i="66"/>
  <c r="U19" i="66"/>
  <c r="X19" i="66"/>
  <c r="Y19" i="66"/>
  <c r="AA19" i="66" s="1"/>
  <c r="AB19" i="66" s="1"/>
  <c r="Z19" i="66"/>
  <c r="F20" i="66"/>
  <c r="I20" i="66"/>
  <c r="L20" i="66"/>
  <c r="O20" i="66"/>
  <c r="R20" i="66"/>
  <c r="U20" i="66"/>
  <c r="X20" i="66"/>
  <c r="Y20" i="66"/>
  <c r="Z20" i="66"/>
  <c r="AA20" i="66" s="1"/>
  <c r="AB20" i="66" s="1"/>
  <c r="F21" i="66"/>
  <c r="I21" i="66"/>
  <c r="L21" i="66"/>
  <c r="O21" i="66"/>
  <c r="R21" i="66"/>
  <c r="U21" i="66"/>
  <c r="X21" i="66"/>
  <c r="Y21" i="66"/>
  <c r="Z21" i="66"/>
  <c r="F22" i="66"/>
  <c r="I22" i="66"/>
  <c r="L22" i="66"/>
  <c r="O22" i="66"/>
  <c r="R22" i="66"/>
  <c r="U22" i="66"/>
  <c r="X22" i="66"/>
  <c r="Y22" i="66"/>
  <c r="Z22" i="66"/>
  <c r="U23" i="66"/>
  <c r="X23" i="66"/>
  <c r="Y23" i="66"/>
  <c r="Z23" i="66"/>
  <c r="F24" i="66"/>
  <c r="I24" i="66"/>
  <c r="L24" i="66"/>
  <c r="O24" i="66"/>
  <c r="U24" i="66"/>
  <c r="X24" i="66"/>
  <c r="Y24" i="66"/>
  <c r="Z24" i="66"/>
  <c r="F25" i="66"/>
  <c r="I25" i="66"/>
  <c r="L25" i="66"/>
  <c r="O25" i="66"/>
  <c r="U25" i="66"/>
  <c r="X25" i="66"/>
  <c r="Y25" i="66"/>
  <c r="Z25" i="66"/>
  <c r="U26" i="66"/>
  <c r="X26" i="66"/>
  <c r="Y26" i="66"/>
  <c r="Z26" i="66"/>
  <c r="F27" i="66"/>
  <c r="I27" i="66"/>
  <c r="L27" i="66"/>
  <c r="O27" i="66"/>
  <c r="U27" i="66"/>
  <c r="X27" i="66"/>
  <c r="Y27" i="66"/>
  <c r="Z27" i="66"/>
  <c r="F28" i="66"/>
  <c r="I28" i="66"/>
  <c r="L28" i="66"/>
  <c r="O28" i="66"/>
  <c r="U28" i="66"/>
  <c r="X28" i="66"/>
  <c r="Y28" i="66"/>
  <c r="Z28" i="66"/>
  <c r="F29" i="66"/>
  <c r="I29" i="66"/>
  <c r="L29" i="66"/>
  <c r="O29" i="66"/>
  <c r="U29" i="66"/>
  <c r="X29" i="66"/>
  <c r="Y29" i="66"/>
  <c r="Z29" i="66"/>
  <c r="F30" i="66"/>
  <c r="I30" i="66"/>
  <c r="L30" i="66"/>
  <c r="O30" i="66"/>
  <c r="U30" i="66"/>
  <c r="X30" i="66"/>
  <c r="Y30" i="66"/>
  <c r="Z30" i="66"/>
  <c r="F31" i="66"/>
  <c r="I31" i="66"/>
  <c r="L31" i="66"/>
  <c r="O31" i="66"/>
  <c r="U31" i="66"/>
  <c r="X31" i="66"/>
  <c r="Y31" i="66"/>
  <c r="Z31" i="66"/>
  <c r="AA31" i="66" s="1"/>
  <c r="AB31" i="66" s="1"/>
  <c r="F32" i="66"/>
  <c r="I32" i="66"/>
  <c r="L32" i="66"/>
  <c r="O32" i="66"/>
  <c r="U32" i="66"/>
  <c r="X32" i="66"/>
  <c r="Y32" i="66"/>
  <c r="Z32" i="66"/>
  <c r="F33" i="66"/>
  <c r="U33" i="66"/>
  <c r="X33" i="66"/>
  <c r="Y33" i="66"/>
  <c r="AA33" i="66" s="1"/>
  <c r="Z33" i="66"/>
  <c r="F34" i="66"/>
  <c r="I34" i="66"/>
  <c r="L34" i="66"/>
  <c r="O34" i="66"/>
  <c r="R34" i="66"/>
  <c r="U34" i="66"/>
  <c r="X34" i="66"/>
  <c r="Y34" i="66"/>
  <c r="Z34" i="66"/>
  <c r="F35" i="66"/>
  <c r="I35" i="66"/>
  <c r="L35" i="66"/>
  <c r="O35" i="66"/>
  <c r="R35" i="66"/>
  <c r="T35" i="66"/>
  <c r="U35" i="66" s="1"/>
  <c r="X35" i="66"/>
  <c r="Y35" i="66"/>
  <c r="F36" i="66"/>
  <c r="I36" i="66"/>
  <c r="L36" i="66"/>
  <c r="O36" i="66"/>
  <c r="R36" i="66"/>
  <c r="U36" i="66"/>
  <c r="X36" i="66"/>
  <c r="Y36" i="66"/>
  <c r="AA36" i="66" s="1"/>
  <c r="AB36" i="66" s="1"/>
  <c r="Z36" i="66"/>
  <c r="F37" i="66"/>
  <c r="I37" i="66"/>
  <c r="L37" i="66"/>
  <c r="O37" i="66"/>
  <c r="R37" i="66"/>
  <c r="U37" i="66"/>
  <c r="X37" i="66"/>
  <c r="Y37" i="66"/>
  <c r="Z37" i="66"/>
  <c r="X38" i="66"/>
  <c r="Y38" i="66"/>
  <c r="AA38" i="66" s="1"/>
  <c r="Z38" i="66"/>
  <c r="U39" i="66"/>
  <c r="X39" i="66"/>
  <c r="Y39" i="66"/>
  <c r="AA39" i="66" s="1"/>
  <c r="Z39" i="66"/>
  <c r="F40" i="66"/>
  <c r="I40" i="66"/>
  <c r="L40" i="66"/>
  <c r="O40" i="66"/>
  <c r="U40" i="66"/>
  <c r="X40" i="66"/>
  <c r="Y40" i="66"/>
  <c r="AA40" i="66" s="1"/>
  <c r="AB40" i="66" s="1"/>
  <c r="Z40" i="66"/>
  <c r="F41" i="66"/>
  <c r="I41" i="66"/>
  <c r="L41" i="66"/>
  <c r="O41" i="66"/>
  <c r="R41" i="66"/>
  <c r="T41" i="66"/>
  <c r="U41" i="66"/>
  <c r="X41" i="66"/>
  <c r="Y41" i="66"/>
  <c r="F42" i="66"/>
  <c r="I42" i="66"/>
  <c r="L42" i="66"/>
  <c r="O42" i="66"/>
  <c r="R42" i="66"/>
  <c r="U42" i="66"/>
  <c r="X42" i="66"/>
  <c r="Y42" i="66"/>
  <c r="AA42" i="66" s="1"/>
  <c r="AB42" i="66" s="1"/>
  <c r="Z42" i="66"/>
  <c r="F43" i="66"/>
  <c r="I43" i="66"/>
  <c r="L43" i="66"/>
  <c r="O43" i="66"/>
  <c r="R43" i="66"/>
  <c r="U43" i="66"/>
  <c r="X43" i="66"/>
  <c r="Y43" i="66"/>
  <c r="Z43" i="66"/>
  <c r="AA43" i="66" s="1"/>
  <c r="F44" i="66"/>
  <c r="I44" i="66"/>
  <c r="L44" i="66"/>
  <c r="O44" i="66"/>
  <c r="R44" i="66"/>
  <c r="U44" i="66"/>
  <c r="X44" i="66"/>
  <c r="Y44" i="66"/>
  <c r="AA44" i="66" s="1"/>
  <c r="Z44" i="66"/>
  <c r="U45" i="66"/>
  <c r="X45" i="66"/>
  <c r="Y45" i="66"/>
  <c r="AA45" i="66" s="1"/>
  <c r="Z45" i="66"/>
  <c r="F46" i="66"/>
  <c r="I46" i="66"/>
  <c r="L46" i="66"/>
  <c r="O46" i="66"/>
  <c r="R46" i="66"/>
  <c r="U46" i="66"/>
  <c r="X46" i="66"/>
  <c r="Y46" i="66"/>
  <c r="Z46" i="66"/>
  <c r="F47" i="66"/>
  <c r="I47" i="66"/>
  <c r="L47" i="66"/>
  <c r="O47" i="66"/>
  <c r="R47" i="66"/>
  <c r="U47" i="66"/>
  <c r="X47" i="66"/>
  <c r="Y47" i="66"/>
  <c r="AA47" i="66" s="1"/>
  <c r="AB47" i="66" s="1"/>
  <c r="Z47" i="66"/>
  <c r="F48" i="66"/>
  <c r="I48" i="66"/>
  <c r="L48" i="66"/>
  <c r="O48" i="66"/>
  <c r="R48" i="66"/>
  <c r="U48" i="66"/>
  <c r="X48" i="66"/>
  <c r="Y48" i="66"/>
  <c r="Z48" i="66"/>
  <c r="AA48" i="66" s="1"/>
  <c r="AB48" i="66" s="1"/>
  <c r="F49" i="66"/>
  <c r="I49" i="66"/>
  <c r="L49" i="66"/>
  <c r="O49" i="66"/>
  <c r="R49" i="66"/>
  <c r="U49" i="66"/>
  <c r="X49" i="66"/>
  <c r="Y49" i="66"/>
  <c r="AA49" i="66" s="1"/>
  <c r="AB49" i="66" s="1"/>
  <c r="Z49" i="66"/>
  <c r="F50" i="66"/>
  <c r="I50" i="66"/>
  <c r="L50" i="66"/>
  <c r="O50" i="66"/>
  <c r="R50" i="66"/>
  <c r="U50" i="66"/>
  <c r="X50" i="66"/>
  <c r="Y50" i="66"/>
  <c r="Z50" i="66"/>
  <c r="AA50" i="66" s="1"/>
  <c r="AB50" i="66" s="1"/>
  <c r="F51" i="66"/>
  <c r="I51" i="66"/>
  <c r="L51" i="66"/>
  <c r="O51" i="66"/>
  <c r="R51" i="66"/>
  <c r="T51" i="66"/>
  <c r="U51" i="66" s="1"/>
  <c r="X51" i="66"/>
  <c r="Y51" i="66"/>
  <c r="F52" i="66"/>
  <c r="I52" i="66"/>
  <c r="L52" i="66"/>
  <c r="O52" i="66"/>
  <c r="R52" i="66"/>
  <c r="U52" i="66"/>
  <c r="X52" i="66"/>
  <c r="Y52" i="66"/>
  <c r="Z52" i="66"/>
  <c r="F53" i="66"/>
  <c r="I53" i="66"/>
  <c r="L53" i="66"/>
  <c r="O53" i="66"/>
  <c r="R53" i="66"/>
  <c r="U53" i="66"/>
  <c r="X53" i="66"/>
  <c r="Y53" i="66"/>
  <c r="Z53" i="66"/>
  <c r="U54" i="66"/>
  <c r="X54" i="66"/>
  <c r="Y54" i="66"/>
  <c r="Z54" i="66"/>
  <c r="F55" i="66"/>
  <c r="I55" i="66"/>
  <c r="L55" i="66"/>
  <c r="O55" i="66"/>
  <c r="R55" i="66"/>
  <c r="U55" i="66"/>
  <c r="X55" i="66"/>
  <c r="Y55" i="66"/>
  <c r="AA55" i="66" s="1"/>
  <c r="AB55" i="66" s="1"/>
  <c r="Z55" i="66"/>
  <c r="F56" i="66"/>
  <c r="I56" i="66"/>
  <c r="L56" i="66"/>
  <c r="O56" i="66"/>
  <c r="R56" i="66"/>
  <c r="U56" i="66"/>
  <c r="X56" i="66"/>
  <c r="Y56" i="66"/>
  <c r="Z56" i="66"/>
  <c r="AA56" i="66" s="1"/>
  <c r="AB56" i="66" s="1"/>
  <c r="U57" i="66"/>
  <c r="X57" i="66"/>
  <c r="Y57" i="66"/>
  <c r="Z57" i="66"/>
  <c r="F58" i="66"/>
  <c r="I58" i="66"/>
  <c r="L58" i="66"/>
  <c r="O58" i="66"/>
  <c r="R58" i="66"/>
  <c r="U58" i="66"/>
  <c r="X58" i="66"/>
  <c r="Y58" i="66"/>
  <c r="Z58" i="66"/>
  <c r="F59" i="66"/>
  <c r="I59" i="66"/>
  <c r="L59" i="66"/>
  <c r="O59" i="66"/>
  <c r="R59" i="66"/>
  <c r="U59" i="66"/>
  <c r="X59" i="66"/>
  <c r="Y59" i="66"/>
  <c r="Z59" i="66"/>
  <c r="F60" i="66"/>
  <c r="U60" i="66"/>
  <c r="X60" i="66"/>
  <c r="Y60" i="66"/>
  <c r="Z60" i="66"/>
  <c r="F61" i="66"/>
  <c r="I61" i="66"/>
  <c r="L61" i="66"/>
  <c r="O61" i="66"/>
  <c r="R61" i="66"/>
  <c r="T61" i="66"/>
  <c r="Z61" i="66" s="1"/>
  <c r="X61" i="66"/>
  <c r="Y61" i="66"/>
  <c r="F62" i="66"/>
  <c r="I62" i="66"/>
  <c r="L62" i="66"/>
  <c r="O62" i="66"/>
  <c r="R62" i="66"/>
  <c r="U62" i="66"/>
  <c r="X62" i="66"/>
  <c r="Y62" i="66"/>
  <c r="Z62" i="66"/>
  <c r="AA62" i="66" s="1"/>
  <c r="AB62" i="66" s="1"/>
  <c r="F63" i="66"/>
  <c r="U63" i="66"/>
  <c r="X63" i="66"/>
  <c r="Y63" i="66"/>
  <c r="AA63" i="66" s="1"/>
  <c r="Z63" i="66"/>
  <c r="F64" i="66"/>
  <c r="I64" i="66"/>
  <c r="L64" i="66"/>
  <c r="O64" i="66"/>
  <c r="R64" i="66"/>
  <c r="T64" i="66"/>
  <c r="U64" i="66"/>
  <c r="X64" i="66"/>
  <c r="Y64" i="66"/>
  <c r="AA64" i="66" s="1"/>
  <c r="AB64" i="66" s="1"/>
  <c r="X65" i="66"/>
  <c r="Y65" i="66"/>
  <c r="AA65" i="66" s="1"/>
  <c r="AB65" i="66" s="1"/>
  <c r="Z65" i="66"/>
  <c r="F66" i="66"/>
  <c r="I66" i="66"/>
  <c r="L66" i="66"/>
  <c r="O66" i="66"/>
  <c r="R66" i="66"/>
  <c r="T66" i="66"/>
  <c r="U66" i="66"/>
  <c r="X66" i="66"/>
  <c r="Y66" i="66"/>
  <c r="F67" i="66"/>
  <c r="H67" i="66"/>
  <c r="Z67" i="66" s="1"/>
  <c r="L67" i="66"/>
  <c r="O67" i="66"/>
  <c r="R67" i="66"/>
  <c r="U67" i="66"/>
  <c r="X67" i="66"/>
  <c r="Y67" i="66"/>
  <c r="F68" i="66"/>
  <c r="I68" i="66"/>
  <c r="L68" i="66"/>
  <c r="O68" i="66"/>
  <c r="R68" i="66"/>
  <c r="U68" i="66"/>
  <c r="X68" i="66"/>
  <c r="Y68" i="66"/>
  <c r="Z68" i="66"/>
  <c r="U69" i="66"/>
  <c r="X69" i="66"/>
  <c r="Y69" i="66"/>
  <c r="Z69" i="66"/>
  <c r="F70" i="66"/>
  <c r="I70" i="66"/>
  <c r="L70" i="66"/>
  <c r="O70" i="66"/>
  <c r="R70" i="66"/>
  <c r="U70" i="66"/>
  <c r="X70" i="66"/>
  <c r="Y70" i="66"/>
  <c r="Z70" i="66"/>
  <c r="R71" i="66"/>
  <c r="U71" i="66"/>
  <c r="X71" i="66"/>
  <c r="Y71" i="66"/>
  <c r="AA71" i="66" s="1"/>
  <c r="AB71" i="66" s="1"/>
  <c r="Z71" i="66"/>
  <c r="R72" i="66"/>
  <c r="U72" i="66"/>
  <c r="X72" i="66"/>
  <c r="Y72" i="66"/>
  <c r="Z72" i="66"/>
  <c r="AA72" i="66" s="1"/>
  <c r="AB72" i="66" s="1"/>
  <c r="F73" i="66"/>
  <c r="I73" i="66"/>
  <c r="L73" i="66"/>
  <c r="O73" i="66"/>
  <c r="R73" i="66"/>
  <c r="U73" i="66"/>
  <c r="X73" i="66"/>
  <c r="Y73" i="66"/>
  <c r="Z73" i="66"/>
  <c r="F74" i="66"/>
  <c r="U74" i="66"/>
  <c r="X74" i="66"/>
  <c r="Y74" i="66"/>
  <c r="Z74" i="66"/>
  <c r="F75" i="66"/>
  <c r="I75" i="66"/>
  <c r="L75" i="66"/>
  <c r="O75" i="66"/>
  <c r="R75" i="66"/>
  <c r="U75" i="66"/>
  <c r="X75" i="66"/>
  <c r="Y75" i="66"/>
  <c r="AA75" i="66" s="1"/>
  <c r="AB75" i="66" s="1"/>
  <c r="Z75" i="66"/>
  <c r="F76" i="66"/>
  <c r="I76" i="66"/>
  <c r="L76" i="66"/>
  <c r="O76" i="66"/>
  <c r="R76" i="66"/>
  <c r="U76" i="66"/>
  <c r="X76" i="66"/>
  <c r="Y76" i="66"/>
  <c r="Z76" i="66"/>
  <c r="F77" i="66"/>
  <c r="I77" i="66"/>
  <c r="L77" i="66"/>
  <c r="O77" i="66"/>
  <c r="R77" i="66"/>
  <c r="U77" i="66"/>
  <c r="X77" i="66"/>
  <c r="Y77" i="66"/>
  <c r="Z77" i="66"/>
  <c r="E78" i="66"/>
  <c r="F78" i="66" s="1"/>
  <c r="I78" i="66"/>
  <c r="L78" i="66"/>
  <c r="O78" i="66"/>
  <c r="R78" i="66"/>
  <c r="U78" i="66"/>
  <c r="X78" i="66"/>
  <c r="Y78" i="66"/>
  <c r="F79" i="66"/>
  <c r="I79" i="66"/>
  <c r="L79" i="66"/>
  <c r="O79" i="66"/>
  <c r="R79" i="66"/>
  <c r="U79" i="66"/>
  <c r="X79" i="66"/>
  <c r="Y79" i="66"/>
  <c r="Z79" i="66"/>
  <c r="F80" i="66"/>
  <c r="I80" i="66"/>
  <c r="L80" i="66"/>
  <c r="O80" i="66"/>
  <c r="R80" i="66"/>
  <c r="U80" i="66"/>
  <c r="X80" i="66"/>
  <c r="Y80" i="66"/>
  <c r="AA80" i="66" s="1"/>
  <c r="Z80" i="66"/>
  <c r="F81" i="66"/>
  <c r="U81" i="66"/>
  <c r="X81" i="66"/>
  <c r="Y81" i="66"/>
  <c r="Z81" i="66"/>
  <c r="F82" i="66"/>
  <c r="I82" i="66"/>
  <c r="L82" i="66"/>
  <c r="O82" i="66"/>
  <c r="R82" i="66"/>
  <c r="U82" i="66"/>
  <c r="X82" i="66"/>
  <c r="Y82" i="66"/>
  <c r="AA82" i="66" s="1"/>
  <c r="AB82" i="66" s="1"/>
  <c r="Z82" i="66"/>
  <c r="F83" i="66"/>
  <c r="I83" i="66"/>
  <c r="L83" i="66"/>
  <c r="O83" i="66"/>
  <c r="R83" i="66"/>
  <c r="U83" i="66"/>
  <c r="X83" i="66"/>
  <c r="Y83" i="66"/>
  <c r="Z83" i="66"/>
  <c r="F84" i="66"/>
  <c r="I84" i="66"/>
  <c r="L84" i="66"/>
  <c r="O84" i="66"/>
  <c r="R84" i="66"/>
  <c r="U84" i="66"/>
  <c r="X84" i="66"/>
  <c r="Y84" i="66"/>
  <c r="Z84" i="66"/>
  <c r="F85" i="66"/>
  <c r="I85" i="66"/>
  <c r="L85" i="66"/>
  <c r="O85" i="66"/>
  <c r="Q85" i="66"/>
  <c r="R85" i="66" s="1"/>
  <c r="U85" i="66"/>
  <c r="X85" i="66"/>
  <c r="Y85" i="66"/>
  <c r="F86" i="66"/>
  <c r="U86" i="66"/>
  <c r="X86" i="66"/>
  <c r="Y86" i="66"/>
  <c r="Z86" i="66"/>
  <c r="AA86" i="66" s="1"/>
  <c r="F87" i="66"/>
  <c r="I87" i="66"/>
  <c r="L87" i="66"/>
  <c r="O87" i="66"/>
  <c r="R87" i="66"/>
  <c r="T87" i="66"/>
  <c r="U87" i="66" s="1"/>
  <c r="X87" i="66"/>
  <c r="Y87" i="66"/>
  <c r="F88" i="66"/>
  <c r="I88" i="66"/>
  <c r="L88" i="66"/>
  <c r="O88" i="66"/>
  <c r="R88" i="66"/>
  <c r="U88" i="66"/>
  <c r="X88" i="66"/>
  <c r="Y88" i="66"/>
  <c r="AA88" i="66" s="1"/>
  <c r="AB88" i="66" s="1"/>
  <c r="Z88" i="66"/>
  <c r="F89" i="66"/>
  <c r="I89" i="66"/>
  <c r="L89" i="66"/>
  <c r="O89" i="66"/>
  <c r="R89" i="66"/>
  <c r="U89" i="66"/>
  <c r="X89" i="66"/>
  <c r="Y89" i="66"/>
  <c r="Z89" i="66"/>
  <c r="AA89" i="66" s="1"/>
  <c r="AB89" i="66" s="1"/>
  <c r="F90" i="66"/>
  <c r="I90" i="66"/>
  <c r="L90" i="66"/>
  <c r="O90" i="66"/>
  <c r="R90" i="66"/>
  <c r="U90" i="66"/>
  <c r="X90" i="66"/>
  <c r="Y90" i="66"/>
  <c r="Z90" i="66"/>
  <c r="F91" i="66"/>
  <c r="I91" i="66"/>
  <c r="L91" i="66"/>
  <c r="O91" i="66"/>
  <c r="R91" i="66"/>
  <c r="U91" i="66"/>
  <c r="X91" i="66"/>
  <c r="Y91" i="66"/>
  <c r="Z91" i="66"/>
  <c r="F92" i="66"/>
  <c r="I92" i="66"/>
  <c r="L92" i="66"/>
  <c r="O92" i="66"/>
  <c r="R92" i="66"/>
  <c r="U92" i="66"/>
  <c r="X92" i="66"/>
  <c r="Y92" i="66"/>
  <c r="AA92" i="66" s="1"/>
  <c r="AB92" i="66" s="1"/>
  <c r="Z92" i="66"/>
  <c r="E93" i="66"/>
  <c r="F93" i="66" s="1"/>
  <c r="I93" i="66"/>
  <c r="L93" i="66"/>
  <c r="O93" i="66"/>
  <c r="R93" i="66"/>
  <c r="U93" i="66"/>
  <c r="X93" i="66"/>
  <c r="Y93" i="66"/>
  <c r="F94" i="66"/>
  <c r="I94" i="66"/>
  <c r="L94" i="66"/>
  <c r="O94" i="66"/>
  <c r="R94" i="66"/>
  <c r="U94" i="66"/>
  <c r="X94" i="66"/>
  <c r="Y94" i="66"/>
  <c r="Z94" i="66"/>
  <c r="U95" i="66"/>
  <c r="X95" i="66"/>
  <c r="Y95" i="66"/>
  <c r="Z95" i="66"/>
  <c r="AA95" i="66" s="1"/>
  <c r="F96" i="66"/>
  <c r="I96" i="66"/>
  <c r="L96" i="66"/>
  <c r="O96" i="66"/>
  <c r="U96" i="66"/>
  <c r="X96" i="66"/>
  <c r="Y96" i="66"/>
  <c r="Z96" i="66"/>
  <c r="F97" i="66"/>
  <c r="I97" i="66"/>
  <c r="L97" i="66"/>
  <c r="O97" i="66"/>
  <c r="U97" i="66"/>
  <c r="X97" i="66"/>
  <c r="Y97" i="66"/>
  <c r="Z97" i="66"/>
  <c r="AA97" i="66" s="1"/>
  <c r="AB97" i="66" s="1"/>
  <c r="F98" i="66"/>
  <c r="U98" i="66"/>
  <c r="X98" i="66"/>
  <c r="Y98" i="66"/>
  <c r="Z98" i="66"/>
  <c r="E99" i="66"/>
  <c r="I99" i="66"/>
  <c r="L99" i="66"/>
  <c r="O99" i="66"/>
  <c r="U99" i="66"/>
  <c r="X99" i="66"/>
  <c r="Y99" i="66"/>
  <c r="X100" i="66"/>
  <c r="Y100" i="66"/>
  <c r="AA100" i="66" s="1"/>
  <c r="Z100" i="66"/>
  <c r="F101" i="66"/>
  <c r="I101" i="66"/>
  <c r="L101" i="66"/>
  <c r="O101" i="66"/>
  <c r="U101" i="66"/>
  <c r="X101" i="66"/>
  <c r="Y101" i="66"/>
  <c r="Z101" i="66"/>
  <c r="F102" i="66"/>
  <c r="U102" i="66"/>
  <c r="X102" i="66"/>
  <c r="Y102" i="66"/>
  <c r="Z102" i="66"/>
  <c r="AA102" i="66" s="1"/>
  <c r="F103" i="66"/>
  <c r="I103" i="66"/>
  <c r="L103" i="66"/>
  <c r="O103" i="66"/>
  <c r="U103" i="66"/>
  <c r="X103" i="66"/>
  <c r="Y103" i="66"/>
  <c r="Z103" i="66"/>
  <c r="AA103" i="66" s="1"/>
  <c r="AB103" i="66" s="1"/>
  <c r="D104" i="66"/>
  <c r="G104" i="66"/>
  <c r="J104" i="66"/>
  <c r="K104" i="66"/>
  <c r="M104" i="66"/>
  <c r="N104" i="66"/>
  <c r="P104" i="66"/>
  <c r="S104" i="66"/>
  <c r="V104" i="66"/>
  <c r="W104" i="66"/>
  <c r="E113" i="66"/>
  <c r="E114" i="66"/>
  <c r="C116" i="66"/>
  <c r="D116" i="66"/>
  <c r="C117" i="66"/>
  <c r="D117" i="66"/>
  <c r="D120" i="66" s="1"/>
  <c r="N12" i="3"/>
  <c r="AA59" i="66"/>
  <c r="AB59" i="66" s="1"/>
  <c r="AA96" i="66"/>
  <c r="AB96" i="66" s="1"/>
  <c r="AA79" i="66"/>
  <c r="AB79" i="66" s="1"/>
  <c r="AA101" i="66"/>
  <c r="AA69" i="66"/>
  <c r="AB69" i="66" s="1"/>
  <c r="Z66" i="66"/>
  <c r="AA66" i="66"/>
  <c r="AB66" i="66" s="1"/>
  <c r="Z64" i="66"/>
  <c r="AA60" i="66"/>
  <c r="AA12" i="66"/>
  <c r="AB12" i="66" s="1"/>
  <c r="Z41" i="66"/>
  <c r="AA41" i="66" s="1"/>
  <c r="AB41" i="66" s="1"/>
  <c r="AB16" i="66"/>
  <c r="F10" i="67"/>
  <c r="G10" i="67" s="1"/>
  <c r="E28" i="67"/>
  <c r="Z87" i="66"/>
  <c r="AA87" i="66" s="1"/>
  <c r="AB87" i="66" s="1"/>
  <c r="C118" i="66"/>
  <c r="C121" i="66" s="1"/>
  <c r="O104" i="66"/>
  <c r="E16" i="68"/>
  <c r="Z93" i="66"/>
  <c r="AH21" i="10"/>
  <c r="L21" i="10" s="1"/>
  <c r="N15" i="3"/>
  <c r="AH19" i="10"/>
  <c r="L19" i="10" s="1"/>
  <c r="N21" i="42"/>
  <c r="AB20" i="43"/>
  <c r="N19" i="42"/>
  <c r="AE17" i="43"/>
  <c r="L17" i="43" s="1"/>
  <c r="AB17" i="43"/>
  <c r="N16" i="42"/>
  <c r="AB15" i="43"/>
  <c r="I15" i="43" s="1"/>
  <c r="N18" i="36"/>
  <c r="S20" i="36" s="1"/>
  <c r="I18" i="33"/>
  <c r="X22" i="57" s="1"/>
  <c r="R22" i="57"/>
  <c r="P15" i="12"/>
  <c r="N22" i="3"/>
  <c r="E28" i="57"/>
  <c r="G28" i="57" s="1"/>
  <c r="E25" i="57"/>
  <c r="G25" i="57" s="1"/>
  <c r="E24" i="57"/>
  <c r="G24" i="57" s="1"/>
  <c r="E23" i="57"/>
  <c r="E19" i="57"/>
  <c r="G19" i="57" s="1"/>
  <c r="E17" i="57"/>
  <c r="G17" i="57" s="1"/>
  <c r="N20" i="3"/>
  <c r="N18" i="3"/>
  <c r="N17" i="3"/>
  <c r="N16" i="3"/>
  <c r="N13" i="3"/>
  <c r="I16" i="37"/>
  <c r="F20" i="37" s="1"/>
  <c r="I20" i="37" s="1"/>
  <c r="F26" i="37" s="1"/>
  <c r="F16" i="37"/>
  <c r="A30" i="39"/>
  <c r="E16" i="36"/>
  <c r="H16" i="36"/>
  <c r="E18" i="36" s="1"/>
  <c r="H18" i="36" s="1"/>
  <c r="E22" i="36" s="1"/>
  <c r="D75" i="57"/>
  <c r="D12" i="33"/>
  <c r="K22" i="34" s="1"/>
  <c r="F20" i="25"/>
  <c r="C10" i="9"/>
  <c r="G9" i="43" s="1"/>
  <c r="E11" i="42"/>
  <c r="F7" i="37"/>
  <c r="D10" i="50"/>
  <c r="C7" i="12"/>
  <c r="D7" i="36"/>
  <c r="D7" i="34"/>
  <c r="D7" i="33"/>
  <c r="D6" i="33"/>
  <c r="C19" i="16"/>
  <c r="H33" i="37"/>
  <c r="D25" i="11"/>
  <c r="A25" i="11"/>
  <c r="M16" i="37"/>
  <c r="R24" i="37"/>
  <c r="K44" i="37" s="1"/>
  <c r="H31" i="16" s="1"/>
  <c r="F34" i="16" s="1"/>
  <c r="P26" i="37"/>
  <c r="M26" i="37"/>
  <c r="F50" i="37"/>
  <c r="F52" i="37"/>
  <c r="F54" i="37"/>
  <c r="A38" i="11"/>
  <c r="A39" i="11"/>
  <c r="A40" i="11"/>
  <c r="A41" i="11"/>
  <c r="D23" i="11"/>
  <c r="D24" i="11"/>
  <c r="D26" i="11"/>
  <c r="A23" i="11"/>
  <c r="A24" i="11"/>
  <c r="A26" i="11"/>
  <c r="A27" i="11"/>
  <c r="AD28" i="9"/>
  <c r="J28" i="9" s="1"/>
  <c r="AD29" i="9"/>
  <c r="J29" i="9" s="1"/>
  <c r="AD30" i="9"/>
  <c r="J30" i="9" s="1"/>
  <c r="AD31" i="9"/>
  <c r="J31" i="9" s="1"/>
  <c r="AD32" i="9"/>
  <c r="J32" i="9" s="1"/>
  <c r="AD33" i="9"/>
  <c r="J33" i="9" s="1"/>
  <c r="AD34" i="9"/>
  <c r="J34" i="9" s="1"/>
  <c r="AD35" i="9"/>
  <c r="J35" i="9" s="1"/>
  <c r="AD36" i="9"/>
  <c r="J36" i="9" s="1"/>
  <c r="AD27" i="9"/>
  <c r="J27" i="9" s="1"/>
  <c r="N23" i="42"/>
  <c r="AI16" i="43"/>
  <c r="P16" i="43" s="1"/>
  <c r="AI17" i="43"/>
  <c r="P17" i="43" s="1"/>
  <c r="AI18" i="43"/>
  <c r="P18" i="43" s="1"/>
  <c r="AI19" i="43"/>
  <c r="P19" i="43" s="1"/>
  <c r="AI20" i="43"/>
  <c r="P20" i="43" s="1"/>
  <c r="AI21" i="43"/>
  <c r="P21" i="43" s="1"/>
  <c r="AI15" i="43"/>
  <c r="P15" i="43" s="1"/>
  <c r="AF16" i="43"/>
  <c r="AF17" i="43"/>
  <c r="M17" i="43" s="1"/>
  <c r="AF18" i="43"/>
  <c r="M18" i="43" s="1"/>
  <c r="AF19" i="43"/>
  <c r="M19" i="43" s="1"/>
  <c r="AF20" i="43"/>
  <c r="M20" i="43" s="1"/>
  <c r="AF21" i="43"/>
  <c r="M21" i="43" s="1"/>
  <c r="AF15" i="43"/>
  <c r="AE16" i="43"/>
  <c r="AE19" i="43"/>
  <c r="L19" i="43" s="1"/>
  <c r="AE20" i="43"/>
  <c r="L20" i="43" s="1"/>
  <c r="AE21" i="43"/>
  <c r="L21" i="43" s="1"/>
  <c r="AC16" i="43"/>
  <c r="J16" i="43" s="1"/>
  <c r="AC17" i="43"/>
  <c r="J17" i="43" s="1"/>
  <c r="AC18" i="43"/>
  <c r="J18" i="43" s="1"/>
  <c r="AC19" i="43"/>
  <c r="J19" i="43" s="1"/>
  <c r="AC20" i="43"/>
  <c r="J20" i="43" s="1"/>
  <c r="AC21" i="43"/>
  <c r="J21" i="43" s="1"/>
  <c r="AC15" i="43"/>
  <c r="J15" i="43" s="1"/>
  <c r="AB16" i="43"/>
  <c r="I16" i="43" s="1"/>
  <c r="AB18" i="43"/>
  <c r="I18" i="43" s="1"/>
  <c r="AB19" i="43"/>
  <c r="I19" i="43" s="1"/>
  <c r="N19" i="43" s="1"/>
  <c r="AB21" i="43"/>
  <c r="I21" i="43" s="1"/>
  <c r="Z16" i="43"/>
  <c r="G16" i="43" s="1"/>
  <c r="Z17" i="43"/>
  <c r="G17" i="43" s="1"/>
  <c r="Z18" i="43"/>
  <c r="G18" i="43" s="1"/>
  <c r="Z19" i="43"/>
  <c r="G19" i="43" s="1"/>
  <c r="Z20" i="43"/>
  <c r="G20" i="43" s="1"/>
  <c r="Z21" i="43"/>
  <c r="G21" i="43" s="1"/>
  <c r="Z15" i="43"/>
  <c r="G15" i="43" s="1"/>
  <c r="Y16" i="43"/>
  <c r="F16" i="43" s="1"/>
  <c r="Y17" i="43"/>
  <c r="Y18" i="43"/>
  <c r="F18" i="43" s="1"/>
  <c r="Y19" i="43"/>
  <c r="F19" i="43" s="1"/>
  <c r="Y20" i="43"/>
  <c r="F20" i="43" s="1"/>
  <c r="Y21" i="43"/>
  <c r="F21" i="43" s="1"/>
  <c r="Y15" i="43"/>
  <c r="F15" i="43" s="1"/>
  <c r="U16" i="43"/>
  <c r="B16" i="43" s="1"/>
  <c r="V16" i="43"/>
  <c r="W16" i="43"/>
  <c r="D16" i="43" s="1"/>
  <c r="U17" i="43"/>
  <c r="B17" i="43" s="1"/>
  <c r="V17" i="43"/>
  <c r="W17" i="43"/>
  <c r="D17" i="43" s="1"/>
  <c r="U18" i="43"/>
  <c r="B18" i="43" s="1"/>
  <c r="V18" i="43"/>
  <c r="W18" i="43"/>
  <c r="D18" i="43" s="1"/>
  <c r="U19" i="43"/>
  <c r="B19" i="43" s="1"/>
  <c r="V19" i="43"/>
  <c r="W19" i="43"/>
  <c r="D19" i="43" s="1"/>
  <c r="U20" i="43"/>
  <c r="B20" i="43" s="1"/>
  <c r="V20" i="43"/>
  <c r="W20" i="43"/>
  <c r="D20" i="43" s="1"/>
  <c r="U21" i="43"/>
  <c r="B21" i="43" s="1"/>
  <c r="V21" i="43"/>
  <c r="W21" i="43"/>
  <c r="D21" i="43" s="1"/>
  <c r="V15" i="43"/>
  <c r="C15" i="43" s="1"/>
  <c r="W15" i="43"/>
  <c r="D15" i="43" s="1"/>
  <c r="U15" i="43"/>
  <c r="B15" i="43" s="1"/>
  <c r="L63" i="51"/>
  <c r="C63" i="51" s="1"/>
  <c r="O81" i="51"/>
  <c r="O79" i="51"/>
  <c r="F79" i="51" s="1"/>
  <c r="O77" i="51"/>
  <c r="F77" i="51" s="1"/>
  <c r="O75" i="51"/>
  <c r="O73" i="51"/>
  <c r="F73" i="51" s="1"/>
  <c r="O71" i="51"/>
  <c r="F71" i="51" s="1"/>
  <c r="O69" i="51"/>
  <c r="F69" i="51" s="1"/>
  <c r="O65" i="51"/>
  <c r="O63" i="51"/>
  <c r="F63" i="51" s="1"/>
  <c r="O61" i="51"/>
  <c r="F61" i="51" s="1"/>
  <c r="O59" i="51"/>
  <c r="F59" i="51" s="1"/>
  <c r="O57" i="51"/>
  <c r="F57" i="51" s="1"/>
  <c r="O55" i="51"/>
  <c r="F55" i="51" s="1"/>
  <c r="O53" i="51"/>
  <c r="F53" i="51" s="1"/>
  <c r="O48" i="51"/>
  <c r="F48" i="51" s="1"/>
  <c r="O46" i="51"/>
  <c r="O44" i="51"/>
  <c r="F44" i="51" s="1"/>
  <c r="O42" i="51"/>
  <c r="F42" i="51" s="1"/>
  <c r="O40" i="51"/>
  <c r="F40" i="51" s="1"/>
  <c r="O38" i="51"/>
  <c r="O36" i="51"/>
  <c r="F36" i="51" s="1"/>
  <c r="L79" i="51"/>
  <c r="C79" i="51" s="1"/>
  <c r="L77" i="51"/>
  <c r="C77" i="51" s="1"/>
  <c r="L75" i="51"/>
  <c r="C75" i="51" s="1"/>
  <c r="L73" i="51"/>
  <c r="C73" i="51" s="1"/>
  <c r="L71" i="51"/>
  <c r="C71" i="51" s="1"/>
  <c r="L69" i="51"/>
  <c r="C69" i="51" s="1"/>
  <c r="C15" i="51" s="1"/>
  <c r="L61" i="51"/>
  <c r="C61" i="51" s="1"/>
  <c r="L59" i="51"/>
  <c r="C59" i="51" s="1"/>
  <c r="L57" i="51"/>
  <c r="L55" i="51"/>
  <c r="C55" i="51" s="1"/>
  <c r="L53" i="51"/>
  <c r="L14" i="51" s="1"/>
  <c r="L46" i="51"/>
  <c r="C46" i="51" s="1"/>
  <c r="L44" i="51"/>
  <c r="C44" i="51" s="1"/>
  <c r="L42" i="51"/>
  <c r="L40" i="51"/>
  <c r="C40" i="51" s="1"/>
  <c r="L38" i="51"/>
  <c r="C38" i="51" s="1"/>
  <c r="L36" i="51"/>
  <c r="C36" i="51" s="1"/>
  <c r="C13" i="51" s="1"/>
  <c r="O32" i="51"/>
  <c r="O30" i="51"/>
  <c r="F30" i="51" s="1"/>
  <c r="O28" i="51"/>
  <c r="F28" i="51" s="1"/>
  <c r="O26" i="51"/>
  <c r="O24" i="51"/>
  <c r="F24" i="51"/>
  <c r="O22" i="51"/>
  <c r="F22" i="51" s="1"/>
  <c r="O20" i="51"/>
  <c r="F20" i="51" s="1"/>
  <c r="L30" i="51"/>
  <c r="C30" i="51" s="1"/>
  <c r="L28" i="51"/>
  <c r="C28" i="51" s="1"/>
  <c r="L26" i="51"/>
  <c r="C26" i="51" s="1"/>
  <c r="L24" i="51"/>
  <c r="C24" i="51" s="1"/>
  <c r="L22" i="51"/>
  <c r="C22" i="51" s="1"/>
  <c r="L20" i="51"/>
  <c r="C20" i="51" s="1"/>
  <c r="C12" i="51" s="1"/>
  <c r="F81" i="51"/>
  <c r="F75" i="51"/>
  <c r="F65" i="51"/>
  <c r="F46" i="51"/>
  <c r="F38" i="51"/>
  <c r="F32" i="51"/>
  <c r="F26" i="51"/>
  <c r="C42" i="51"/>
  <c r="D12" i="45"/>
  <c r="X23" i="57"/>
  <c r="S23" i="57"/>
  <c r="R23" i="57"/>
  <c r="S22" i="57"/>
  <c r="S21" i="57" s="1"/>
  <c r="S18" i="57"/>
  <c r="X17" i="57"/>
  <c r="S17" i="57"/>
  <c r="R17" i="57"/>
  <c r="P15" i="57"/>
  <c r="V20" i="12"/>
  <c r="Q19" i="12"/>
  <c r="D19" i="12" s="1"/>
  <c r="Q20" i="12"/>
  <c r="D20" i="12" s="1"/>
  <c r="P20" i="12"/>
  <c r="V14" i="12"/>
  <c r="Q14" i="12"/>
  <c r="Q15" i="12"/>
  <c r="P14" i="12"/>
  <c r="N12" i="12"/>
  <c r="AH13" i="10"/>
  <c r="L13" i="10" s="1"/>
  <c r="AH14" i="10"/>
  <c r="L14" i="10" s="1"/>
  <c r="AH15" i="10"/>
  <c r="L15" i="10" s="1"/>
  <c r="AH17" i="10"/>
  <c r="L17" i="10" s="1"/>
  <c r="AH18" i="10"/>
  <c r="L18" i="10" s="1"/>
  <c r="AH20" i="10"/>
  <c r="L20" i="10" s="1"/>
  <c r="AH22" i="10"/>
  <c r="L22" i="10" s="1"/>
  <c r="AH23" i="10"/>
  <c r="L23" i="10" s="1"/>
  <c r="AH12" i="10"/>
  <c r="L12" i="10" s="1"/>
  <c r="AG13" i="10"/>
  <c r="K13" i="10" s="1"/>
  <c r="P13" i="10" s="1"/>
  <c r="AG14" i="10"/>
  <c r="K14" i="10" s="1"/>
  <c r="AG15" i="10"/>
  <c r="K15" i="10" s="1"/>
  <c r="AG16" i="10"/>
  <c r="K16" i="10" s="1"/>
  <c r="AG17" i="10"/>
  <c r="K17" i="10" s="1"/>
  <c r="AG18" i="10"/>
  <c r="K18" i="10" s="1"/>
  <c r="AG19" i="10"/>
  <c r="K19" i="10" s="1"/>
  <c r="AG20" i="10"/>
  <c r="K20" i="10" s="1"/>
  <c r="AG21" i="10"/>
  <c r="K21" i="10" s="1"/>
  <c r="AG22" i="10"/>
  <c r="K22" i="10" s="1"/>
  <c r="AG23" i="10"/>
  <c r="K23" i="10" s="1"/>
  <c r="AG12" i="10"/>
  <c r="K12" i="10" s="1"/>
  <c r="AF13" i="10"/>
  <c r="J13" i="10" s="1"/>
  <c r="AF14" i="10"/>
  <c r="J14" i="10" s="1"/>
  <c r="AF15" i="10"/>
  <c r="J15" i="10" s="1"/>
  <c r="AF16" i="10"/>
  <c r="J16" i="10" s="1"/>
  <c r="AF17" i="10"/>
  <c r="J17" i="10" s="1"/>
  <c r="AF18" i="10"/>
  <c r="J18" i="10" s="1"/>
  <c r="AF19" i="10"/>
  <c r="J19" i="10" s="1"/>
  <c r="AF20" i="10"/>
  <c r="J20" i="10" s="1"/>
  <c r="AF21" i="10"/>
  <c r="J21" i="10" s="1"/>
  <c r="AF22" i="10"/>
  <c r="J22" i="10" s="1"/>
  <c r="AF23" i="10"/>
  <c r="J23" i="10" s="1"/>
  <c r="AF12" i="10"/>
  <c r="J12" i="10" s="1"/>
  <c r="AE13" i="10"/>
  <c r="I13" i="10" s="1"/>
  <c r="AE14" i="10"/>
  <c r="I14" i="10" s="1"/>
  <c r="AE15" i="10"/>
  <c r="I15" i="10" s="1"/>
  <c r="AE16" i="10"/>
  <c r="I16" i="10" s="1"/>
  <c r="AE17" i="10"/>
  <c r="I17" i="10" s="1"/>
  <c r="AE18" i="10"/>
  <c r="I18" i="10" s="1"/>
  <c r="AE19" i="10"/>
  <c r="I19" i="10" s="1"/>
  <c r="AE20" i="10"/>
  <c r="I20" i="10" s="1"/>
  <c r="AE21" i="10"/>
  <c r="I21" i="10" s="1"/>
  <c r="AE22" i="10"/>
  <c r="I22" i="10" s="1"/>
  <c r="AE23" i="10"/>
  <c r="I23" i="10" s="1"/>
  <c r="AE12" i="10"/>
  <c r="I12" i="10" s="1"/>
  <c r="AD13" i="10"/>
  <c r="H13" i="10" s="1"/>
  <c r="AD14" i="10"/>
  <c r="H14" i="10" s="1"/>
  <c r="AD15" i="10"/>
  <c r="H15" i="10" s="1"/>
  <c r="AD16" i="10"/>
  <c r="H16" i="10" s="1"/>
  <c r="AD17" i="10"/>
  <c r="H17" i="10" s="1"/>
  <c r="AD18" i="10"/>
  <c r="H18" i="10" s="1"/>
  <c r="AD19" i="10"/>
  <c r="H19" i="10" s="1"/>
  <c r="AD20" i="10"/>
  <c r="H20" i="10" s="1"/>
  <c r="AD21" i="10"/>
  <c r="H21" i="10" s="1"/>
  <c r="AD22" i="10"/>
  <c r="H22" i="10" s="1"/>
  <c r="AD23" i="10"/>
  <c r="H23" i="10" s="1"/>
  <c r="AD12" i="10"/>
  <c r="H12" i="10" s="1"/>
  <c r="Y13" i="10"/>
  <c r="C13" i="10" s="1"/>
  <c r="Y14" i="10"/>
  <c r="C14" i="10" s="1"/>
  <c r="Y15" i="10"/>
  <c r="C15" i="10" s="1"/>
  <c r="Y16" i="10"/>
  <c r="C16" i="10" s="1"/>
  <c r="Y17" i="10"/>
  <c r="C17" i="10" s="1"/>
  <c r="Y18" i="10"/>
  <c r="C18" i="10" s="1"/>
  <c r="Y19" i="10"/>
  <c r="C19" i="10" s="1"/>
  <c r="Y20" i="10"/>
  <c r="C20" i="10" s="1"/>
  <c r="Y21" i="10"/>
  <c r="C21" i="10" s="1"/>
  <c r="Y22" i="10"/>
  <c r="C22" i="10" s="1"/>
  <c r="Y23" i="10"/>
  <c r="C23" i="10" s="1"/>
  <c r="Y12" i="10"/>
  <c r="C12" i="10" s="1"/>
  <c r="X13" i="10"/>
  <c r="B13" i="10" s="1"/>
  <c r="X14" i="10"/>
  <c r="B14" i="10" s="1"/>
  <c r="X15" i="10"/>
  <c r="B15" i="10" s="1"/>
  <c r="X16" i="10"/>
  <c r="B16" i="10" s="1"/>
  <c r="X17" i="10"/>
  <c r="B17" i="10" s="1"/>
  <c r="X18" i="10"/>
  <c r="B18" i="10" s="1"/>
  <c r="X19" i="10"/>
  <c r="B19" i="10" s="1"/>
  <c r="X20" i="10"/>
  <c r="B20" i="10" s="1"/>
  <c r="X21" i="10"/>
  <c r="B21" i="10" s="1"/>
  <c r="X22" i="10"/>
  <c r="B22" i="10" s="1"/>
  <c r="X23" i="10"/>
  <c r="B23" i="10" s="1"/>
  <c r="X12" i="10"/>
  <c r="B12" i="10" s="1"/>
  <c r="W13" i="10"/>
  <c r="A13" i="10" s="1"/>
  <c r="W14" i="10"/>
  <c r="A14" i="10" s="1"/>
  <c r="W15" i="10"/>
  <c r="A15" i="10" s="1"/>
  <c r="W16" i="10"/>
  <c r="A16" i="10" s="1"/>
  <c r="W17" i="10"/>
  <c r="A17" i="10" s="1"/>
  <c r="W18" i="10"/>
  <c r="A18" i="10" s="1"/>
  <c r="W19" i="10"/>
  <c r="A19" i="10" s="1"/>
  <c r="W20" i="10"/>
  <c r="A20" i="10" s="1"/>
  <c r="W21" i="10"/>
  <c r="A21" i="10" s="1"/>
  <c r="W22" i="10"/>
  <c r="A22" i="10" s="1"/>
  <c r="W23" i="10"/>
  <c r="A23" i="10" s="1"/>
  <c r="W12" i="10"/>
  <c r="A12" i="10" s="1"/>
  <c r="AC28" i="9"/>
  <c r="I28" i="9" s="1"/>
  <c r="AC29" i="9"/>
  <c r="I29" i="9" s="1"/>
  <c r="AC30" i="9"/>
  <c r="I30" i="9" s="1"/>
  <c r="AC31" i="9"/>
  <c r="I31" i="9"/>
  <c r="AC32" i="9"/>
  <c r="I32" i="9" s="1"/>
  <c r="AC33" i="9"/>
  <c r="I33" i="9" s="1"/>
  <c r="AC34" i="9"/>
  <c r="I34" i="9" s="1"/>
  <c r="AC35" i="9"/>
  <c r="I35" i="9" s="1"/>
  <c r="AC36" i="9"/>
  <c r="I36" i="9" s="1"/>
  <c r="AC27" i="9"/>
  <c r="I27" i="9" s="1"/>
  <c r="AB28" i="9"/>
  <c r="H28" i="9" s="1"/>
  <c r="AB29" i="9"/>
  <c r="H29" i="9"/>
  <c r="AB30" i="9"/>
  <c r="H30" i="9" s="1"/>
  <c r="AB31" i="9"/>
  <c r="H31" i="9" s="1"/>
  <c r="AB32" i="9"/>
  <c r="H32" i="9" s="1"/>
  <c r="AB33" i="9"/>
  <c r="H33" i="9" s="1"/>
  <c r="AB34" i="9"/>
  <c r="H34" i="9" s="1"/>
  <c r="AB35" i="9"/>
  <c r="H35" i="9" s="1"/>
  <c r="AB36" i="9"/>
  <c r="H36" i="9" s="1"/>
  <c r="AB27" i="9"/>
  <c r="H27" i="9"/>
  <c r="AA28" i="9"/>
  <c r="G28" i="9" s="1"/>
  <c r="AA29" i="9"/>
  <c r="G29" i="9" s="1"/>
  <c r="AA30" i="9"/>
  <c r="G30" i="9" s="1"/>
  <c r="AA31" i="9"/>
  <c r="G31" i="9" s="1"/>
  <c r="AA32" i="9"/>
  <c r="G32" i="9" s="1"/>
  <c r="AA33" i="9"/>
  <c r="G33" i="9" s="1"/>
  <c r="AA34" i="9"/>
  <c r="G34" i="9" s="1"/>
  <c r="AA35" i="9"/>
  <c r="G35" i="9"/>
  <c r="AA36" i="9"/>
  <c r="G36" i="9" s="1"/>
  <c r="AA27" i="9"/>
  <c r="G27" i="9" s="1"/>
  <c r="Z28" i="9"/>
  <c r="F28" i="9" s="1"/>
  <c r="Z29" i="9"/>
  <c r="F29" i="9" s="1"/>
  <c r="Z30" i="9"/>
  <c r="F30" i="9" s="1"/>
  <c r="Z31" i="9"/>
  <c r="F31" i="9" s="1"/>
  <c r="Z32" i="9"/>
  <c r="F32" i="9" s="1"/>
  <c r="Z33" i="9"/>
  <c r="F33" i="9"/>
  <c r="Z34" i="9"/>
  <c r="F34" i="9" s="1"/>
  <c r="Z35" i="9"/>
  <c r="F35" i="9" s="1"/>
  <c r="Z36" i="9"/>
  <c r="F36" i="9" s="1"/>
  <c r="Z27" i="9"/>
  <c r="F27" i="9" s="1"/>
  <c r="U28" i="9"/>
  <c r="A28" i="9" s="1"/>
  <c r="U29" i="9"/>
  <c r="A29" i="9" s="1"/>
  <c r="U30" i="9"/>
  <c r="A30" i="9" s="1"/>
  <c r="U31" i="9"/>
  <c r="A31" i="9"/>
  <c r="U32" i="9"/>
  <c r="A32" i="9" s="1"/>
  <c r="U33" i="9"/>
  <c r="A33" i="9" s="1"/>
  <c r="U34" i="9"/>
  <c r="A34" i="9" s="1"/>
  <c r="U35" i="9"/>
  <c r="A35" i="9" s="1"/>
  <c r="U36" i="9"/>
  <c r="A36" i="9" s="1"/>
  <c r="U27" i="9"/>
  <c r="A27" i="9" s="1"/>
  <c r="V28" i="9"/>
  <c r="B28" i="9" s="1"/>
  <c r="V29" i="9"/>
  <c r="B29" i="9"/>
  <c r="V30" i="9"/>
  <c r="B30" i="9" s="1"/>
  <c r="V31" i="9"/>
  <c r="B31" i="9" s="1"/>
  <c r="V32" i="9"/>
  <c r="B32" i="9" s="1"/>
  <c r="V33" i="9"/>
  <c r="B33" i="9" s="1"/>
  <c r="V34" i="9"/>
  <c r="B34" i="9" s="1"/>
  <c r="V35" i="9"/>
  <c r="B35" i="9" s="1"/>
  <c r="V36" i="9"/>
  <c r="B36" i="9" s="1"/>
  <c r="V27" i="9"/>
  <c r="B27" i="9"/>
  <c r="C15" i="45"/>
  <c r="C14" i="45"/>
  <c r="C13" i="45"/>
  <c r="C12" i="45"/>
  <c r="E19" i="33"/>
  <c r="E13" i="33"/>
  <c r="H22" i="36"/>
  <c r="I26" i="37" s="1"/>
  <c r="C7" i="51"/>
  <c r="C5" i="57"/>
  <c r="C4" i="57"/>
  <c r="C3" i="57"/>
  <c r="D3" i="50"/>
  <c r="D5" i="50"/>
  <c r="D8" i="50"/>
  <c r="D9" i="50"/>
  <c r="D6" i="50"/>
  <c r="D7" i="50"/>
  <c r="D3" i="3"/>
  <c r="J52" i="57"/>
  <c r="I52" i="57"/>
  <c r="F52" i="57"/>
  <c r="E52" i="57"/>
  <c r="K51" i="57"/>
  <c r="G51" i="57"/>
  <c r="K50" i="57"/>
  <c r="G50" i="57"/>
  <c r="K49" i="57"/>
  <c r="G49" i="57"/>
  <c r="K48" i="57"/>
  <c r="G48" i="57"/>
  <c r="K47" i="57"/>
  <c r="K52" i="57" s="1"/>
  <c r="G47" i="57"/>
  <c r="G52" i="57" s="1"/>
  <c r="J40" i="57"/>
  <c r="I40" i="57"/>
  <c r="F40" i="57"/>
  <c r="E40" i="57"/>
  <c r="K39" i="57"/>
  <c r="G39" i="57"/>
  <c r="K38" i="57"/>
  <c r="G38" i="57"/>
  <c r="K37" i="57"/>
  <c r="G37" i="57"/>
  <c r="K36" i="57"/>
  <c r="G36" i="57"/>
  <c r="K35" i="57"/>
  <c r="G35" i="57"/>
  <c r="G40" i="57" s="1"/>
  <c r="J30" i="57"/>
  <c r="I30" i="57"/>
  <c r="F30" i="57"/>
  <c r="K29" i="57"/>
  <c r="G29" i="57"/>
  <c r="K28" i="57"/>
  <c r="K27" i="57"/>
  <c r="G27" i="57"/>
  <c r="K26" i="57"/>
  <c r="G26" i="57"/>
  <c r="K25" i="57"/>
  <c r="K24" i="57"/>
  <c r="K23" i="57"/>
  <c r="G23" i="57"/>
  <c r="K22" i="57"/>
  <c r="G22" i="57"/>
  <c r="K21" i="57"/>
  <c r="G21" i="57"/>
  <c r="K20" i="57"/>
  <c r="G20" i="57"/>
  <c r="K19" i="57"/>
  <c r="K18" i="57"/>
  <c r="G18" i="57"/>
  <c r="K17" i="57"/>
  <c r="K40" i="57"/>
  <c r="C21" i="43"/>
  <c r="C20" i="43"/>
  <c r="C19" i="43"/>
  <c r="C18" i="43"/>
  <c r="C17" i="43"/>
  <c r="C16" i="43"/>
  <c r="L7" i="43"/>
  <c r="H7" i="43"/>
  <c r="L6" i="43"/>
  <c r="H6" i="43"/>
  <c r="J29" i="16"/>
  <c r="D3" i="16"/>
  <c r="J42" i="37"/>
  <c r="J41" i="37"/>
  <c r="M20" i="37"/>
  <c r="G24" i="25"/>
  <c r="K40" i="37" s="1"/>
  <c r="F23" i="25"/>
  <c r="F22" i="25"/>
  <c r="F19" i="25"/>
  <c r="F18" i="25"/>
  <c r="F17" i="25"/>
  <c r="F15" i="25"/>
  <c r="F14" i="25"/>
  <c r="C27" i="39"/>
  <c r="I24" i="39"/>
  <c r="H24" i="39"/>
  <c r="D24" i="39"/>
  <c r="C24" i="39"/>
  <c r="J23" i="39"/>
  <c r="E23" i="39"/>
  <c r="J22" i="39"/>
  <c r="E22" i="39"/>
  <c r="J21" i="39"/>
  <c r="E21" i="39"/>
  <c r="J20" i="39"/>
  <c r="E20" i="39"/>
  <c r="J19" i="39"/>
  <c r="E19" i="39"/>
  <c r="J18" i="39"/>
  <c r="J24" i="39" s="1"/>
  <c r="E18" i="39"/>
  <c r="E24" i="39" s="1"/>
  <c r="C12" i="39"/>
  <c r="D49" i="11"/>
  <c r="C49" i="11"/>
  <c r="D48" i="11"/>
  <c r="C48" i="11"/>
  <c r="A37" i="11"/>
  <c r="A36" i="11"/>
  <c r="A35" i="11"/>
  <c r="A34" i="11"/>
  <c r="A33" i="11"/>
  <c r="D22" i="11"/>
  <c r="A22" i="11"/>
  <c r="D21" i="11"/>
  <c r="A21" i="11"/>
  <c r="D20" i="11"/>
  <c r="A20" i="11"/>
  <c r="D19" i="11"/>
  <c r="A19" i="11"/>
  <c r="D18" i="11"/>
  <c r="A18" i="11"/>
  <c r="D17" i="11"/>
  <c r="A17" i="11"/>
  <c r="D16" i="11"/>
  <c r="A16" i="11"/>
  <c r="C18" i="9"/>
  <c r="L14" i="16" s="1"/>
  <c r="F17" i="9"/>
  <c r="G5" i="25" s="1"/>
  <c r="F16" i="9"/>
  <c r="O12" i="16" s="1"/>
  <c r="D16" i="9"/>
  <c r="M12" i="16" s="1"/>
  <c r="C14" i="9"/>
  <c r="D14" i="16" s="1"/>
  <c r="F13" i="9"/>
  <c r="G13" i="16" s="1"/>
  <c r="D13" i="9"/>
  <c r="E13" i="16" s="1"/>
  <c r="F12" i="9"/>
  <c r="G4" i="12" s="1"/>
  <c r="D12" i="9"/>
  <c r="E12" i="16" s="1"/>
  <c r="D10" i="16"/>
  <c r="A29" i="16" s="1"/>
  <c r="C9" i="9"/>
  <c r="D9" i="16" s="1"/>
  <c r="C8" i="9"/>
  <c r="D8" i="16" s="1"/>
  <c r="C7" i="9"/>
  <c r="F3" i="37" s="1"/>
  <c r="C6" i="9"/>
  <c r="D6" i="16" s="1"/>
  <c r="C5" i="9"/>
  <c r="D5" i="16" s="1"/>
  <c r="J36" i="42"/>
  <c r="G36" i="42"/>
  <c r="F36" i="42"/>
  <c r="N34" i="42"/>
  <c r="N33" i="42"/>
  <c r="N32" i="42"/>
  <c r="N31" i="42"/>
  <c r="N30" i="42"/>
  <c r="N29" i="42"/>
  <c r="N28" i="42"/>
  <c r="N27" i="42"/>
  <c r="N26" i="42"/>
  <c r="N25" i="42"/>
  <c r="N24" i="42"/>
  <c r="N22" i="42"/>
  <c r="G10" i="42"/>
  <c r="L9" i="42"/>
  <c r="H9" i="42"/>
  <c r="L8" i="42"/>
  <c r="H8" i="42"/>
  <c r="G7" i="42"/>
  <c r="D15" i="45"/>
  <c r="D13" i="45"/>
  <c r="D16" i="45" s="1"/>
  <c r="A25" i="7"/>
  <c r="C16" i="7"/>
  <c r="F15" i="7"/>
  <c r="F14" i="7"/>
  <c r="D14" i="7"/>
  <c r="C12" i="7"/>
  <c r="F11" i="7"/>
  <c r="D11" i="7"/>
  <c r="F10" i="7"/>
  <c r="D10" i="7"/>
  <c r="C8" i="7"/>
  <c r="C7" i="7"/>
  <c r="C6" i="7"/>
  <c r="C5" i="7"/>
  <c r="C4" i="7"/>
  <c r="C3" i="7"/>
  <c r="F6" i="36"/>
  <c r="I5" i="36"/>
  <c r="G5" i="36"/>
  <c r="I4" i="36"/>
  <c r="G4" i="36"/>
  <c r="F3" i="36"/>
  <c r="M19" i="34"/>
  <c r="D6" i="34"/>
  <c r="G5" i="34"/>
  <c r="E5" i="34"/>
  <c r="G4" i="34"/>
  <c r="E4" i="34"/>
  <c r="D3" i="34"/>
  <c r="D6" i="38"/>
  <c r="G5" i="38"/>
  <c r="E5" i="38"/>
  <c r="G4" i="38"/>
  <c r="E4" i="38"/>
  <c r="D3" i="38"/>
  <c r="D17" i="33"/>
  <c r="I12" i="33"/>
  <c r="G5" i="33"/>
  <c r="E5" i="33"/>
  <c r="G4" i="33"/>
  <c r="E4" i="33"/>
  <c r="D3" i="33"/>
  <c r="D6" i="4"/>
  <c r="G5" i="4"/>
  <c r="E5" i="4"/>
  <c r="G4" i="4"/>
  <c r="E4" i="4"/>
  <c r="D3" i="4"/>
  <c r="D6" i="3"/>
  <c r="G5" i="3"/>
  <c r="E5" i="3"/>
  <c r="G4" i="3"/>
  <c r="E4" i="3"/>
  <c r="F5" i="30"/>
  <c r="D14" i="45"/>
  <c r="D15" i="7"/>
  <c r="D17" i="9"/>
  <c r="M13" i="16" s="1"/>
  <c r="G4" i="10"/>
  <c r="C3" i="13"/>
  <c r="D4" i="12"/>
  <c r="D4" i="13"/>
  <c r="F5" i="41"/>
  <c r="T23" i="57"/>
  <c r="D13" i="12"/>
  <c r="D3" i="10"/>
  <c r="D5" i="41"/>
  <c r="E5" i="10"/>
  <c r="P19" i="12"/>
  <c r="P18" i="12" s="1"/>
  <c r="V19" i="12"/>
  <c r="L13" i="51"/>
  <c r="M15" i="51"/>
  <c r="I17" i="33"/>
  <c r="P16" i="37"/>
  <c r="C57" i="51"/>
  <c r="AG19" i="43"/>
  <c r="N15" i="42"/>
  <c r="M12" i="51"/>
  <c r="I18" i="12"/>
  <c r="D11" i="68" l="1"/>
  <c r="D13" i="68" s="1"/>
  <c r="L16" i="43"/>
  <c r="N16" i="43" s="1"/>
  <c r="AG16" i="43"/>
  <c r="D118" i="66"/>
  <c r="D121" i="66" s="1"/>
  <c r="F99" i="66"/>
  <c r="Z99" i="66"/>
  <c r="AA99" i="66" s="1"/>
  <c r="AB99" i="66" s="1"/>
  <c r="AA67" i="66"/>
  <c r="AB67" i="66" s="1"/>
  <c r="X104" i="66"/>
  <c r="C45" i="67"/>
  <c r="E42" i="67"/>
  <c r="E45" i="67" s="1"/>
  <c r="C36" i="67"/>
  <c r="E33" i="67"/>
  <c r="E36" i="67" s="1"/>
  <c r="E40" i="67"/>
  <c r="E43" i="67" s="1"/>
  <c r="D53" i="70"/>
  <c r="I5" i="39"/>
  <c r="F5" i="11"/>
  <c r="J5" i="37"/>
  <c r="F4" i="30"/>
  <c r="K30" i="57"/>
  <c r="Q13" i="12"/>
  <c r="R20" i="12"/>
  <c r="C53" i="51"/>
  <c r="C14" i="51" s="1"/>
  <c r="T104" i="66"/>
  <c r="E116" i="66"/>
  <c r="E118" i="66" s="1"/>
  <c r="E121" i="66" s="1"/>
  <c r="F28" i="67"/>
  <c r="G28" i="67" s="1"/>
  <c r="E120" i="66"/>
  <c r="M14" i="51"/>
  <c r="L36" i="42"/>
  <c r="N18" i="42"/>
  <c r="C119" i="66"/>
  <c r="AA98" i="66"/>
  <c r="AA94" i="66"/>
  <c r="AA93" i="66"/>
  <c r="AA91" i="66"/>
  <c r="AB91" i="66" s="1"/>
  <c r="AA90" i="66"/>
  <c r="AB90" i="66" s="1"/>
  <c r="AA84" i="66"/>
  <c r="AB84" i="66" s="1"/>
  <c r="AA83" i="66"/>
  <c r="AB83" i="66" s="1"/>
  <c r="AA81" i="66"/>
  <c r="AA77" i="66"/>
  <c r="AB77" i="66" s="1"/>
  <c r="AA76" i="66"/>
  <c r="AB76" i="66" s="1"/>
  <c r="AA74" i="66"/>
  <c r="AA73" i="66"/>
  <c r="AA70" i="66"/>
  <c r="AA68" i="66"/>
  <c r="AB68" i="66" s="1"/>
  <c r="AA61" i="66"/>
  <c r="AB61" i="66" s="1"/>
  <c r="AA58" i="66"/>
  <c r="AB58" i="66" s="1"/>
  <c r="AA57" i="66"/>
  <c r="AB57" i="66" s="1"/>
  <c r="AA54" i="66"/>
  <c r="AA53" i="66"/>
  <c r="AA52" i="66"/>
  <c r="AB52" i="66" s="1"/>
  <c r="AA46" i="66"/>
  <c r="AB46" i="66" s="1"/>
  <c r="AA37" i="66"/>
  <c r="AB37" i="66" s="1"/>
  <c r="AA34" i="66"/>
  <c r="AB34" i="66" s="1"/>
  <c r="AA32" i="66"/>
  <c r="AA30" i="66"/>
  <c r="AB30" i="66" s="1"/>
  <c r="AA29" i="66"/>
  <c r="AB29" i="66" s="1"/>
  <c r="AA28" i="66"/>
  <c r="AB28" i="66" s="1"/>
  <c r="AA27" i="66"/>
  <c r="AB27" i="66" s="1"/>
  <c r="AA26" i="66"/>
  <c r="AB26" i="66" s="1"/>
  <c r="AA25" i="66"/>
  <c r="AB25" i="66" s="1"/>
  <c r="AA24" i="66"/>
  <c r="AB24" i="66" s="1"/>
  <c r="AA23" i="66"/>
  <c r="AA22" i="66"/>
  <c r="AB22" i="66" s="1"/>
  <c r="AA21" i="66"/>
  <c r="AB21" i="66" s="1"/>
  <c r="AA17" i="66"/>
  <c r="AB17" i="66" s="1"/>
  <c r="L104" i="66"/>
  <c r="AA14" i="66"/>
  <c r="AB14" i="66" s="1"/>
  <c r="AA13" i="66"/>
  <c r="Y104" i="66"/>
  <c r="AA10" i="66"/>
  <c r="AB10" i="66" s="1"/>
  <c r="AA9" i="66"/>
  <c r="AB9" i="66" s="1"/>
  <c r="AA8" i="66"/>
  <c r="AB8" i="66" s="1"/>
  <c r="AA7" i="66"/>
  <c r="AB7" i="66" s="1"/>
  <c r="AA6" i="66"/>
  <c r="AB6" i="66" s="1"/>
  <c r="AA5" i="66"/>
  <c r="AB5" i="66" s="1"/>
  <c r="R104" i="66"/>
  <c r="F104" i="66"/>
  <c r="I13" i="12"/>
  <c r="E7" i="68"/>
  <c r="E110" i="66"/>
  <c r="E48" i="67"/>
  <c r="E34" i="67"/>
  <c r="E37" i="67" s="1"/>
  <c r="D54" i="70"/>
  <c r="G30" i="57"/>
  <c r="E30" i="57"/>
  <c r="E5" i="25"/>
  <c r="J4" i="37"/>
  <c r="G4" i="25"/>
  <c r="D5" i="12"/>
  <c r="D5" i="11"/>
  <c r="D5" i="13"/>
  <c r="D5" i="30"/>
  <c r="D5" i="39"/>
  <c r="J13" i="33"/>
  <c r="W17" i="57"/>
  <c r="F4" i="41"/>
  <c r="F4" i="13"/>
  <c r="H4" i="37"/>
  <c r="H5" i="37"/>
  <c r="F4" i="11"/>
  <c r="R14" i="12"/>
  <c r="I4" i="39"/>
  <c r="V18" i="12"/>
  <c r="W14" i="12"/>
  <c r="R19" i="12"/>
  <c r="M13" i="51"/>
  <c r="M16" i="51" s="1"/>
  <c r="N16" i="51" s="1"/>
  <c r="E4" i="25"/>
  <c r="G12" i="16"/>
  <c r="Y23" i="43"/>
  <c r="X21" i="57"/>
  <c r="X16" i="57"/>
  <c r="T17" i="57"/>
  <c r="T22" i="57"/>
  <c r="R21" i="57"/>
  <c r="T21" i="57" s="1"/>
  <c r="W23" i="57"/>
  <c r="Y23" i="57" s="1"/>
  <c r="U20" i="12"/>
  <c r="W20" i="12" s="1"/>
  <c r="J19" i="33"/>
  <c r="I20" i="43"/>
  <c r="N20" i="43" s="1"/>
  <c r="AG20" i="43"/>
  <c r="R15" i="12"/>
  <c r="C15" i="12"/>
  <c r="G23" i="43"/>
  <c r="I17" i="43"/>
  <c r="N17" i="43" s="1"/>
  <c r="AB23" i="43"/>
  <c r="AG17" i="43"/>
  <c r="M24" i="34"/>
  <c r="M26" i="34" s="1"/>
  <c r="N31" i="36" s="1"/>
  <c r="S34" i="36" s="1"/>
  <c r="S36" i="36" s="1"/>
  <c r="D23" i="7" s="1"/>
  <c r="F21" i="25"/>
  <c r="F24" i="25" s="1"/>
  <c r="J40" i="37" s="1"/>
  <c r="C19" i="12"/>
  <c r="E19" i="12" s="1"/>
  <c r="E4" i="10"/>
  <c r="C6" i="12"/>
  <c r="C6" i="11"/>
  <c r="E14" i="33"/>
  <c r="AH16" i="10"/>
  <c r="L16" i="10" s="1"/>
  <c r="C20" i="12"/>
  <c r="S16" i="57"/>
  <c r="L12" i="51"/>
  <c r="H104" i="66"/>
  <c r="Z51" i="66"/>
  <c r="AA51" i="66" s="1"/>
  <c r="AB51" i="66" s="1"/>
  <c r="I67" i="66"/>
  <c r="I104" i="66" s="1"/>
  <c r="U61" i="66"/>
  <c r="U104" i="66" s="1"/>
  <c r="E9" i="68"/>
  <c r="E11" i="68" s="1"/>
  <c r="C43" i="67"/>
  <c r="C35" i="67"/>
  <c r="D56" i="70"/>
  <c r="D58" i="70" s="1"/>
  <c r="G58" i="70" s="1"/>
  <c r="A31" i="16"/>
  <c r="D4" i="41"/>
  <c r="D6" i="10"/>
  <c r="C3" i="30"/>
  <c r="C17" i="33"/>
  <c r="E17" i="33" s="1"/>
  <c r="D12" i="51"/>
  <c r="AG21" i="43"/>
  <c r="N21" i="43"/>
  <c r="AE15" i="43"/>
  <c r="AE18" i="43"/>
  <c r="L18" i="43" s="1"/>
  <c r="N18" i="43" s="1"/>
  <c r="N20" i="42"/>
  <c r="E104" i="66"/>
  <c r="C120" i="66"/>
  <c r="Z35" i="66"/>
  <c r="AA11" i="66"/>
  <c r="AB11" i="66" s="1"/>
  <c r="Q104" i="66"/>
  <c r="Z78" i="66"/>
  <c r="AA78" i="66" s="1"/>
  <c r="AB78" i="66" s="1"/>
  <c r="E46" i="67"/>
  <c r="E47" i="67" s="1"/>
  <c r="D57" i="70"/>
  <c r="G60" i="70" s="1"/>
  <c r="D13" i="51"/>
  <c r="Z23" i="43"/>
  <c r="C3" i="11"/>
  <c r="F6" i="37"/>
  <c r="G5" i="43"/>
  <c r="D4" i="30"/>
  <c r="C6" i="13"/>
  <c r="G8" i="43"/>
  <c r="C12" i="33"/>
  <c r="E12" i="33" s="1"/>
  <c r="R18" i="57"/>
  <c r="L15" i="51"/>
  <c r="D15" i="51"/>
  <c r="D14" i="51"/>
  <c r="F17" i="43"/>
  <c r="F23" i="43" s="1"/>
  <c r="P20" i="37"/>
  <c r="R22" i="37" s="1"/>
  <c r="J44" i="37" s="1"/>
  <c r="N19" i="3"/>
  <c r="N21" i="3"/>
  <c r="D119" i="66"/>
  <c r="N17" i="42"/>
  <c r="AC23" i="43"/>
  <c r="D4" i="39"/>
  <c r="C3" i="39"/>
  <c r="D7" i="16"/>
  <c r="G5" i="12"/>
  <c r="Q18" i="12"/>
  <c r="R18" i="12" s="1"/>
  <c r="D6" i="25"/>
  <c r="C3" i="12"/>
  <c r="C6" i="39"/>
  <c r="P13" i="12"/>
  <c r="R13" i="12" s="1"/>
  <c r="E18" i="33"/>
  <c r="I36" i="42"/>
  <c r="C14" i="12"/>
  <c r="D4" i="11"/>
  <c r="F5" i="13"/>
  <c r="C3" i="41"/>
  <c r="C6" i="30"/>
  <c r="O13" i="16"/>
  <c r="G5" i="10"/>
  <c r="C6" i="41"/>
  <c r="D3" i="25"/>
  <c r="V15" i="12"/>
  <c r="V13" i="12" s="1"/>
  <c r="Y17" i="57"/>
  <c r="Z85" i="66"/>
  <c r="AA85" i="66" s="1"/>
  <c r="AB85" i="66" s="1"/>
  <c r="D18" i="12"/>
  <c r="J23" i="43"/>
  <c r="H29" i="16" l="1"/>
  <c r="E16" i="45"/>
  <c r="N36" i="42"/>
  <c r="Z104" i="66"/>
  <c r="E13" i="68"/>
  <c r="W18" i="57"/>
  <c r="J14" i="33"/>
  <c r="U15" i="12"/>
  <c r="H12" i="33"/>
  <c r="J12" i="33" s="1"/>
  <c r="W22" i="57"/>
  <c r="J18" i="33"/>
  <c r="U19" i="12"/>
  <c r="H17" i="33"/>
  <c r="J17" i="33" s="1"/>
  <c r="E20" i="12"/>
  <c r="H20" i="12"/>
  <c r="J20" i="12" s="1"/>
  <c r="C18" i="12"/>
  <c r="E18" i="12" s="1"/>
  <c r="H19" i="12"/>
  <c r="I23" i="43"/>
  <c r="H14" i="12"/>
  <c r="E14" i="12"/>
  <c r="C13" i="12"/>
  <c r="E13" i="12" s="1"/>
  <c r="T18" i="57"/>
  <c r="R16" i="57"/>
  <c r="T16" i="57" s="1"/>
  <c r="H15" i="12"/>
  <c r="J15" i="12" s="1"/>
  <c r="E15" i="12"/>
  <c r="L15" i="43"/>
  <c r="AE23" i="43"/>
  <c r="AG15" i="43"/>
  <c r="AA35" i="66"/>
  <c r="AG18" i="43"/>
  <c r="D16" i="51"/>
  <c r="E16" i="51" s="1"/>
  <c r="H13" i="12" l="1"/>
  <c r="J14" i="12"/>
  <c r="L23" i="43"/>
  <c r="N15" i="43"/>
  <c r="N23" i="43" s="1"/>
  <c r="Y22" i="57"/>
  <c r="W21" i="57"/>
  <c r="Y21" i="57" s="1"/>
  <c r="W16" i="57"/>
  <c r="Y16" i="57" s="1"/>
  <c r="Y18" i="57"/>
  <c r="U18" i="12"/>
  <c r="W18" i="12" s="1"/>
  <c r="W19" i="12"/>
  <c r="W15" i="12"/>
  <c r="U13" i="12"/>
  <c r="W13" i="12" s="1"/>
  <c r="AB35" i="66"/>
  <c r="AA104" i="66"/>
  <c r="AB104" i="66" s="1"/>
  <c r="J19" i="12"/>
  <c r="H18" i="12"/>
  <c r="J18" i="12" s="1"/>
  <c r="AG23" i="43"/>
  <c r="J13" i="12" l="1"/>
  <c r="B34" i="16"/>
  <c r="H34" i="16" s="1"/>
</calcChain>
</file>

<file path=xl/comments1.xml><?xml version="1.0" encoding="utf-8"?>
<comments xmlns="http://schemas.openxmlformats.org/spreadsheetml/2006/main">
  <authors>
    <author>ppower</author>
    <author>Noemi Cambray</author>
  </authors>
  <commentList>
    <comment ref="G8" authorId="0">
      <text>
        <r>
          <rPr>
            <b/>
            <sz val="8"/>
            <color indexed="81"/>
            <rFont val="Tahoma"/>
            <family val="2"/>
          </rPr>
          <t>Start date for current period cannot be earlier than cumulative period</t>
        </r>
        <r>
          <rPr>
            <sz val="8"/>
            <color indexed="81"/>
            <rFont val="Tahoma"/>
            <family val="2"/>
          </rPr>
          <t xml:space="preserve">
</t>
        </r>
      </text>
    </comment>
    <comment ref="K8" authorId="0">
      <text>
        <r>
          <rPr>
            <b/>
            <sz val="8"/>
            <color indexed="81"/>
            <rFont val="Tahoma"/>
            <family val="2"/>
          </rPr>
          <t>Start date for current period cannot be earlier than cumulative period</t>
        </r>
        <r>
          <rPr>
            <sz val="8"/>
            <color indexed="81"/>
            <rFont val="Tahoma"/>
            <family val="2"/>
          </rPr>
          <t xml:space="preserve">
</t>
        </r>
      </text>
    </comment>
    <comment ref="I15" authorId="0">
      <text>
        <r>
          <rPr>
            <b/>
            <sz val="8"/>
            <color indexed="81"/>
            <rFont val="Tahoma"/>
            <family val="2"/>
          </rPr>
          <t>The Cumulative Period should be from the beginning of the grant up to the end of the current reporting period.</t>
        </r>
        <r>
          <rPr>
            <sz val="8"/>
            <color indexed="81"/>
            <rFont val="Tahoma"/>
            <family val="2"/>
          </rPr>
          <t xml:space="preserve">
</t>
        </r>
      </text>
    </comment>
    <comment ref="H16" authorId="0">
      <text>
        <r>
          <rPr>
            <b/>
            <sz val="8"/>
            <color indexed="81"/>
            <rFont val="Tahoma"/>
            <family val="2"/>
          </rPr>
          <t>Please be as specific as possible when describing the Reason for the Variances. Refer to the Guidance Document for additional information.</t>
        </r>
        <r>
          <rPr>
            <sz val="8"/>
            <color indexed="81"/>
            <rFont val="Tahoma"/>
            <family val="2"/>
          </rPr>
          <t xml:space="preserve">
</t>
        </r>
      </text>
    </comment>
    <comment ref="L16" authorId="0">
      <text>
        <r>
          <rPr>
            <b/>
            <sz val="8"/>
            <color indexed="81"/>
            <rFont val="Tahoma"/>
            <family val="2"/>
          </rPr>
          <t>Please be as specific as possible when describing the Reason for the Variances. Refer to the Guidance Document for additional information.</t>
        </r>
        <r>
          <rPr>
            <sz val="8"/>
            <color indexed="81"/>
            <rFont val="Tahoma"/>
            <family val="2"/>
          </rPr>
          <t xml:space="preserve">
</t>
        </r>
      </text>
    </comment>
    <comment ref="I20" authorId="1">
      <text>
        <r>
          <rPr>
            <b/>
            <sz val="9"/>
            <color indexed="81"/>
            <rFont val="Tahoma"/>
            <family val="2"/>
          </rPr>
          <t>Please ensure that the figure here agrees with the cumulative budget figure in the corresponding cell (H18) in section "PR_Total PR Cash Outflow_3A). If they do not the background color will be ORANGE.</t>
        </r>
        <r>
          <rPr>
            <sz val="9"/>
            <color indexed="81"/>
            <rFont val="Tahoma"/>
            <family val="2"/>
          </rPr>
          <t xml:space="preserve">
</t>
        </r>
      </text>
    </comment>
    <comment ref="J20" authorId="1">
      <text>
        <r>
          <rPr>
            <b/>
            <sz val="9"/>
            <color indexed="81"/>
            <rFont val="Tahoma"/>
            <family val="2"/>
          </rPr>
          <t>Please ensure that the figure here agrees with the cumulative cash outflow figure in the corresponding cell (I18) in section "PR_Total PR Cash Outflow_3A). If they do not the background color will be ORANGE.</t>
        </r>
        <r>
          <rPr>
            <sz val="9"/>
            <color indexed="81"/>
            <rFont val="Tahoma"/>
            <family val="2"/>
          </rPr>
          <t xml:space="preserve">
</t>
        </r>
      </text>
    </comment>
    <comment ref="I21" authorId="1">
      <text>
        <r>
          <rPr>
            <b/>
            <sz val="9"/>
            <color indexed="81"/>
            <rFont val="Tahoma"/>
            <family val="2"/>
          </rPr>
          <t>Please ensure that the figure here agrees with the cumulative budget figure in the corresponding cell (H17) in section "PR_Total PR Cash Outflow_3A). If they do not the background color will be ORANGE.</t>
        </r>
        <r>
          <rPr>
            <sz val="9"/>
            <color indexed="81"/>
            <rFont val="Tahoma"/>
            <family val="2"/>
          </rPr>
          <t xml:space="preserve">
</t>
        </r>
      </text>
    </comment>
    <comment ref="J21" authorId="1">
      <text>
        <r>
          <rPr>
            <b/>
            <sz val="9"/>
            <color indexed="81"/>
            <rFont val="Tahoma"/>
            <family val="2"/>
          </rPr>
          <t>Please ensure that the figure here agrees with the cumulative cash outflow figure in the corresponding cell (I17) in section "PR_Total PR Cash Outflow_3A). If they do not the background color will be ORANGE.</t>
        </r>
        <r>
          <rPr>
            <sz val="9"/>
            <color indexed="81"/>
            <rFont val="Tahoma"/>
            <family val="2"/>
          </rPr>
          <t xml:space="preserve">
</t>
        </r>
      </text>
    </comment>
    <comment ref="B29" authorId="0">
      <text>
        <r>
          <rPr>
            <b/>
            <sz val="8"/>
            <color indexed="81"/>
            <rFont val="Tahoma"/>
            <family val="2"/>
          </rPr>
          <t>This category should only be used as a last resort if there is a type of cost that absolutely cannot be allocated to another cost category</t>
        </r>
        <r>
          <rPr>
            <sz val="8"/>
            <color indexed="81"/>
            <rFont val="Tahoma"/>
            <family val="2"/>
          </rPr>
          <t xml:space="preserve">
</t>
        </r>
      </text>
    </comment>
    <comment ref="E30" authorId="0">
      <text>
        <r>
          <rPr>
            <b/>
            <sz val="8"/>
            <color indexed="81"/>
            <rFont val="Tahoma"/>
            <family val="2"/>
          </rPr>
          <t>Please ensure that the figure here agrees with the figure in the corresponding cells in Tables B and C. If they do not the background color will be RED</t>
        </r>
        <r>
          <rPr>
            <sz val="8"/>
            <color indexed="81"/>
            <rFont val="Tahoma"/>
            <family val="2"/>
          </rPr>
          <t xml:space="preserve">
</t>
        </r>
      </text>
    </comment>
    <comment ref="F30" authorId="0">
      <text>
        <r>
          <rPr>
            <b/>
            <sz val="8"/>
            <color indexed="81"/>
            <rFont val="Tahoma"/>
            <family val="2"/>
          </rPr>
          <t>Please ensure that the figure here agrees with the figure in the corresponding cells in Tables B and C. If they do not the background color will be RED</t>
        </r>
        <r>
          <rPr>
            <sz val="8"/>
            <color indexed="81"/>
            <rFont val="Tahoma"/>
            <family val="2"/>
          </rPr>
          <t xml:space="preserve">
</t>
        </r>
      </text>
    </comment>
    <comment ref="G30" authorId="0">
      <text>
        <r>
          <rPr>
            <b/>
            <sz val="8"/>
            <color indexed="81"/>
            <rFont val="Tahoma"/>
            <family val="2"/>
          </rPr>
          <t>Please ensure that the figure here agrees with the figure in the corresponding cells in Tables B and C. If they do not the background color will be RED</t>
        </r>
        <r>
          <rPr>
            <sz val="8"/>
            <color indexed="81"/>
            <rFont val="Tahoma"/>
            <family val="2"/>
          </rPr>
          <t xml:space="preserve">
</t>
        </r>
      </text>
    </comment>
    <comment ref="I30" authorId="0">
      <text>
        <r>
          <rPr>
            <b/>
            <sz val="8"/>
            <color indexed="81"/>
            <rFont val="Tahoma"/>
            <family val="2"/>
          </rPr>
          <t xml:space="preserve">Please ensure that:
-the figure here agrees with the figure in the corresponding cells in Tables B and C (in this tab). If they do not the background color will be RED; and
-the figure also agrees with the cumulative budget figure in the corresponding cell (H11) in section "PR_Total PR Cash Outflow_3A). If they do not the background color will be ORANGE. </t>
        </r>
        <r>
          <rPr>
            <sz val="8"/>
            <color indexed="81"/>
            <rFont val="Tahoma"/>
            <family val="2"/>
          </rPr>
          <t xml:space="preserve">
</t>
        </r>
      </text>
    </comment>
    <comment ref="J30" authorId="0">
      <text>
        <r>
          <rPr>
            <b/>
            <sz val="8"/>
            <color indexed="81"/>
            <rFont val="Tahoma"/>
            <family val="2"/>
          </rPr>
          <t>Please ensure that the figure here agrees with the figure in the corresponding cells in Tables B and C. If they do not the background color will be RED</t>
        </r>
        <r>
          <rPr>
            <sz val="8"/>
            <color indexed="81"/>
            <rFont val="Tahoma"/>
            <family val="2"/>
          </rPr>
          <t xml:space="preserve">
</t>
        </r>
      </text>
    </comment>
    <comment ref="K30" authorId="0">
      <text>
        <r>
          <rPr>
            <b/>
            <sz val="8"/>
            <color indexed="81"/>
            <rFont val="Tahoma"/>
            <family val="2"/>
          </rPr>
          <t>Please ensure that the figure here agrees with the figure in the corresponding cells in Tables B and C. If they do not the background color will be RED</t>
        </r>
        <r>
          <rPr>
            <sz val="8"/>
            <color indexed="81"/>
            <rFont val="Tahoma"/>
            <family val="2"/>
          </rPr>
          <t xml:space="preserve">
</t>
        </r>
      </text>
    </comment>
    <comment ref="I33" authorId="0">
      <text>
        <r>
          <rPr>
            <b/>
            <sz val="8"/>
            <color indexed="81"/>
            <rFont val="Tahoma"/>
            <family val="2"/>
          </rPr>
          <t xml:space="preserve">The Cumulative Period should be from the beginning of the grant up to the end of the current reporting period.
</t>
        </r>
        <r>
          <rPr>
            <sz val="8"/>
            <color indexed="81"/>
            <rFont val="Tahoma"/>
            <family val="2"/>
          </rPr>
          <t xml:space="preserve">
</t>
        </r>
      </text>
    </comment>
    <comment ref="A34" authorId="0">
      <text>
        <r>
          <rPr>
            <b/>
            <sz val="8"/>
            <color indexed="81"/>
            <rFont val="Tahoma"/>
            <family val="2"/>
          </rPr>
          <t>Insert Number</t>
        </r>
        <r>
          <rPr>
            <sz val="8"/>
            <color indexed="81"/>
            <rFont val="Tahoma"/>
            <family val="2"/>
          </rPr>
          <t xml:space="preserve">
</t>
        </r>
      </text>
    </comment>
    <comment ref="C34" authorId="0">
      <text>
        <r>
          <rPr>
            <sz val="8"/>
            <color indexed="81"/>
            <rFont val="Tahoma"/>
            <family val="2"/>
          </rPr>
          <t>Please remember to include the full name of the objective. If an objective has more than 1 SDA, repeat the objective name on each row for the relevant SDA</t>
        </r>
      </text>
    </comment>
    <comment ref="H34" authorId="0">
      <text>
        <r>
          <rPr>
            <b/>
            <sz val="8"/>
            <color indexed="81"/>
            <rFont val="Tahoma"/>
            <family val="2"/>
          </rPr>
          <t xml:space="preserve">Please be as specific as possible when describing the Reason for the Variances. Refer to the Guidance Document for additional information.
</t>
        </r>
        <r>
          <rPr>
            <sz val="8"/>
            <color indexed="81"/>
            <rFont val="Tahoma"/>
            <family val="2"/>
          </rPr>
          <t xml:space="preserve">
</t>
        </r>
      </text>
    </comment>
    <comment ref="L34" authorId="0">
      <text>
        <r>
          <rPr>
            <b/>
            <sz val="8"/>
            <color indexed="81"/>
            <rFont val="Tahoma"/>
            <family val="2"/>
          </rPr>
          <t xml:space="preserve">Please be as specific as possible when describing the Reason for the Variances. Refer to the Guidance Document for additional information.
</t>
        </r>
        <r>
          <rPr>
            <sz val="8"/>
            <color indexed="81"/>
            <rFont val="Tahoma"/>
            <family val="2"/>
          </rPr>
          <t xml:space="preserve">
</t>
        </r>
      </text>
    </comment>
    <comment ref="E40" authorId="0">
      <text>
        <r>
          <rPr>
            <b/>
            <sz val="8"/>
            <color indexed="81"/>
            <rFont val="Tahoma"/>
            <family val="2"/>
          </rPr>
          <t>Please ensure that the figure here agrees with the figure in the corresponding cells in Tables A and C. If they do not the background color will be RED</t>
        </r>
        <r>
          <rPr>
            <sz val="8"/>
            <color indexed="81"/>
            <rFont val="Tahoma"/>
            <family val="2"/>
          </rPr>
          <t xml:space="preserve">
</t>
        </r>
      </text>
    </comment>
    <comment ref="F40" authorId="0">
      <text>
        <r>
          <rPr>
            <b/>
            <sz val="8"/>
            <color indexed="81"/>
            <rFont val="Tahoma"/>
            <family val="2"/>
          </rPr>
          <t>Please ensure that the figure here agrees with the figure in the corresponding cells in Tables A and C. If they do not the background color will be RED</t>
        </r>
        <r>
          <rPr>
            <sz val="8"/>
            <color indexed="81"/>
            <rFont val="Tahoma"/>
            <family val="2"/>
          </rPr>
          <t xml:space="preserve">
</t>
        </r>
      </text>
    </comment>
    <comment ref="G40" authorId="0">
      <text>
        <r>
          <rPr>
            <b/>
            <sz val="8"/>
            <color indexed="81"/>
            <rFont val="Tahoma"/>
            <family val="2"/>
          </rPr>
          <t>Please ensure that the figure here agrees with the figure in the corresponding cells in Tables A and C. If they do not the background color will be RED</t>
        </r>
        <r>
          <rPr>
            <sz val="8"/>
            <color indexed="81"/>
            <rFont val="Tahoma"/>
            <family val="2"/>
          </rPr>
          <t xml:space="preserve">
</t>
        </r>
      </text>
    </comment>
    <comment ref="I40" authorId="0">
      <text>
        <r>
          <rPr>
            <b/>
            <sz val="8"/>
            <color indexed="81"/>
            <rFont val="Tahoma"/>
            <family val="2"/>
          </rPr>
          <t>Please ensure that the figure here agrees with the figure in the corresponding cells in Tables A and C. If they do not the background color will be RED</t>
        </r>
        <r>
          <rPr>
            <sz val="8"/>
            <color indexed="81"/>
            <rFont val="Tahoma"/>
            <family val="2"/>
          </rPr>
          <t xml:space="preserve">
</t>
        </r>
      </text>
    </comment>
    <comment ref="J40" authorId="0">
      <text>
        <r>
          <rPr>
            <b/>
            <sz val="8"/>
            <color indexed="81"/>
            <rFont val="Tahoma"/>
            <family val="2"/>
          </rPr>
          <t>Please ensure that the figure here agrees with the figure in the corresponding cells in Tables A and C. If they do not the background color will be RED</t>
        </r>
        <r>
          <rPr>
            <sz val="8"/>
            <color indexed="81"/>
            <rFont val="Tahoma"/>
            <family val="2"/>
          </rPr>
          <t xml:space="preserve">
</t>
        </r>
      </text>
    </comment>
    <comment ref="K40" authorId="0">
      <text>
        <r>
          <rPr>
            <b/>
            <sz val="8"/>
            <color indexed="81"/>
            <rFont val="Tahoma"/>
            <family val="2"/>
          </rPr>
          <t>Please ensure that the figure here agrees with the figure in the corresponding cells in Tables A and C. If they do not the background color will be RED</t>
        </r>
        <r>
          <rPr>
            <sz val="8"/>
            <color indexed="81"/>
            <rFont val="Tahoma"/>
            <family val="2"/>
          </rPr>
          <t xml:space="preserve">
</t>
        </r>
      </text>
    </comment>
    <comment ref="I45" authorId="0">
      <text>
        <r>
          <rPr>
            <b/>
            <sz val="8"/>
            <color indexed="81"/>
            <rFont val="Tahoma"/>
            <family val="2"/>
          </rPr>
          <t xml:space="preserve">The Cumulative Period should be from the beginning of the grant up to the end of the current reporting period.
</t>
        </r>
        <r>
          <rPr>
            <sz val="8"/>
            <color indexed="81"/>
            <rFont val="Tahoma"/>
            <family val="2"/>
          </rPr>
          <t xml:space="preserve">
</t>
        </r>
      </text>
    </comment>
    <comment ref="A46" authorId="0">
      <text>
        <r>
          <rPr>
            <b/>
            <sz val="8"/>
            <color indexed="81"/>
            <rFont val="Tahoma"/>
            <family val="2"/>
          </rPr>
          <t>Insert Number</t>
        </r>
        <r>
          <rPr>
            <sz val="8"/>
            <color indexed="81"/>
            <rFont val="Tahoma"/>
            <family val="2"/>
          </rPr>
          <t xml:space="preserve">
</t>
        </r>
      </text>
    </comment>
    <comment ref="D46" authorId="0">
      <text>
        <r>
          <rPr>
            <sz val="10"/>
            <color indexed="10"/>
            <rFont val="Tahoma"/>
            <family val="2"/>
          </rPr>
          <t>If a Faith Based Organization is also a NGO or CBO. It should be selected as an FBO!</t>
        </r>
        <r>
          <rPr>
            <sz val="8"/>
            <color indexed="81"/>
            <rFont val="Tahoma"/>
            <family val="2"/>
          </rPr>
          <t xml:space="preserve">
</t>
        </r>
      </text>
    </comment>
    <comment ref="H46" authorId="0">
      <text>
        <r>
          <rPr>
            <b/>
            <sz val="8"/>
            <color indexed="81"/>
            <rFont val="Tahoma"/>
            <family val="2"/>
          </rPr>
          <t xml:space="preserve">Please be as specific as possible when describing the Reason for the Variances. Refer to the Guidance Document for additional information.
</t>
        </r>
        <r>
          <rPr>
            <sz val="8"/>
            <color indexed="81"/>
            <rFont val="Tahoma"/>
            <family val="2"/>
          </rPr>
          <t xml:space="preserve">
</t>
        </r>
      </text>
    </comment>
    <comment ref="L46" authorId="0">
      <text>
        <r>
          <rPr>
            <b/>
            <sz val="8"/>
            <color indexed="81"/>
            <rFont val="Tahoma"/>
            <family val="2"/>
          </rPr>
          <t xml:space="preserve">Please be as specific as possible when describing the Reason for the Variances. Refer to the Guidance Document for additional information.
</t>
        </r>
        <r>
          <rPr>
            <sz val="8"/>
            <color indexed="81"/>
            <rFont val="Tahoma"/>
            <family val="2"/>
          </rPr>
          <t xml:space="preserve">
</t>
        </r>
      </text>
    </comment>
    <comment ref="E52" authorId="0">
      <text>
        <r>
          <rPr>
            <b/>
            <sz val="8"/>
            <color indexed="81"/>
            <rFont val="Tahoma"/>
            <family val="2"/>
          </rPr>
          <t>Please ensure that the figure here agrees with the figure in the corresponding cells in Tables A and B. If they do not the background color will be RED</t>
        </r>
        <r>
          <rPr>
            <sz val="8"/>
            <color indexed="81"/>
            <rFont val="Tahoma"/>
            <family val="2"/>
          </rPr>
          <t xml:space="preserve">
</t>
        </r>
      </text>
    </comment>
    <comment ref="F52" authorId="0">
      <text>
        <r>
          <rPr>
            <b/>
            <sz val="8"/>
            <color indexed="81"/>
            <rFont val="Tahoma"/>
            <family val="2"/>
          </rPr>
          <t>Please ensure that the figure here agrees with the figure in the corresponding cells in Tables A and B. If they do not the background color will be RED</t>
        </r>
        <r>
          <rPr>
            <sz val="8"/>
            <color indexed="81"/>
            <rFont val="Tahoma"/>
            <family val="2"/>
          </rPr>
          <t xml:space="preserve">
</t>
        </r>
      </text>
    </comment>
    <comment ref="G52" authorId="0">
      <text>
        <r>
          <rPr>
            <b/>
            <sz val="8"/>
            <color indexed="81"/>
            <rFont val="Tahoma"/>
            <family val="2"/>
          </rPr>
          <t>Please ensure that the figure here agrees with the figure in the corresponding cells in Tables A and B. If they do not the background color will be RED</t>
        </r>
        <r>
          <rPr>
            <sz val="8"/>
            <color indexed="81"/>
            <rFont val="Tahoma"/>
            <family val="2"/>
          </rPr>
          <t xml:space="preserve">
</t>
        </r>
      </text>
    </comment>
    <comment ref="I52" authorId="0">
      <text>
        <r>
          <rPr>
            <b/>
            <sz val="8"/>
            <color indexed="81"/>
            <rFont val="Tahoma"/>
            <family val="2"/>
          </rPr>
          <t>Please ensure that the figure here agrees with the figure in the corresponding cells in Tables A and B. If they do not the background color will be RED</t>
        </r>
        <r>
          <rPr>
            <sz val="8"/>
            <color indexed="81"/>
            <rFont val="Tahoma"/>
            <family val="2"/>
          </rPr>
          <t xml:space="preserve">
</t>
        </r>
      </text>
    </comment>
    <comment ref="J52" authorId="0">
      <text>
        <r>
          <rPr>
            <b/>
            <sz val="8"/>
            <color indexed="81"/>
            <rFont val="Tahoma"/>
            <family val="2"/>
          </rPr>
          <t>Please ensure that the figure here agrees with the figure in the corresponding cells in Tables A and B. If they do not the background color will be RED</t>
        </r>
        <r>
          <rPr>
            <sz val="8"/>
            <color indexed="81"/>
            <rFont val="Tahoma"/>
            <family val="2"/>
          </rPr>
          <t xml:space="preserve">
</t>
        </r>
      </text>
    </comment>
    <comment ref="K52" authorId="0">
      <text>
        <r>
          <rPr>
            <b/>
            <sz val="8"/>
            <color indexed="81"/>
            <rFont val="Tahoma"/>
            <family val="2"/>
          </rPr>
          <t>Please ensure that the figure here agrees with the figure in the corresponding cells in Tables A and B. If they do not the background color will be RED</t>
        </r>
        <r>
          <rPr>
            <sz val="8"/>
            <color indexed="81"/>
            <rFont val="Tahoma"/>
            <family val="2"/>
          </rPr>
          <t xml:space="preserve">
</t>
        </r>
      </text>
    </comment>
    <comment ref="E68" authorId="0">
      <text>
        <r>
          <rPr>
            <b/>
            <sz val="8"/>
            <color indexed="81"/>
            <rFont val="Tahoma"/>
            <family val="2"/>
          </rPr>
          <t xml:space="preserve">The Cumulative Period should be from the beginning of the grant up to the end of the current reporting period.
</t>
        </r>
        <r>
          <rPr>
            <sz val="8"/>
            <color indexed="81"/>
            <rFont val="Tahoma"/>
            <family val="2"/>
          </rPr>
          <t xml:space="preserve">
</t>
        </r>
      </text>
    </comment>
    <comment ref="A69" authorId="0">
      <text>
        <r>
          <rPr>
            <b/>
            <sz val="8"/>
            <color indexed="81"/>
            <rFont val="Tahoma"/>
            <family val="2"/>
          </rPr>
          <t>Insert Number</t>
        </r>
        <r>
          <rPr>
            <sz val="8"/>
            <color indexed="81"/>
            <rFont val="Tahoma"/>
            <family val="2"/>
          </rPr>
          <t xml:space="preserve">
</t>
        </r>
      </text>
    </comment>
    <comment ref="C69" authorId="0">
      <text>
        <r>
          <rPr>
            <sz val="10"/>
            <color indexed="10"/>
            <rFont val="Tahoma"/>
            <family val="2"/>
          </rPr>
          <t>If a Faith Based Organization is also a NGO or CBO. It should be selected as an FBO!</t>
        </r>
        <r>
          <rPr>
            <sz val="8"/>
            <color indexed="81"/>
            <rFont val="Tahoma"/>
            <family val="2"/>
          </rPr>
          <t xml:space="preserve">
</t>
        </r>
      </text>
    </comment>
    <comment ref="E69" authorId="0">
      <text>
        <r>
          <rPr>
            <b/>
            <sz val="8"/>
            <color indexed="81"/>
            <rFont val="Tahoma"/>
            <family val="2"/>
          </rPr>
          <t xml:space="preserve">Please be as specific as possible when describing the Reason for the Variances. Refer to the Guidance Document for additional information.
</t>
        </r>
        <r>
          <rPr>
            <sz val="8"/>
            <color indexed="81"/>
            <rFont val="Tahoma"/>
            <family val="2"/>
          </rPr>
          <t xml:space="preserve">
</t>
        </r>
      </text>
    </comment>
    <comment ref="D75" authorId="0">
      <text>
        <r>
          <rPr>
            <b/>
            <sz val="8"/>
            <color indexed="81"/>
            <rFont val="Tahoma"/>
            <family val="2"/>
          </rPr>
          <t>Please ensure that the figure here agrees with the figure in the corresponding cells in Tables A and B. If they do not the background color will be RED</t>
        </r>
        <r>
          <rPr>
            <sz val="8"/>
            <color indexed="81"/>
            <rFont val="Tahoma"/>
            <family val="2"/>
          </rPr>
          <t xml:space="preserve">
</t>
        </r>
      </text>
    </comment>
  </commentList>
</comments>
</file>

<file path=xl/sharedStrings.xml><?xml version="1.0" encoding="utf-8"?>
<sst xmlns="http://schemas.openxmlformats.org/spreadsheetml/2006/main" count="2548" uniqueCount="1188">
  <si>
    <t>No changes in planned activty . All the activities carried out as per the approved  work plan .</t>
  </si>
  <si>
    <t xml:space="preserve">Royal Government of Bhutan </t>
  </si>
  <si>
    <t>FRNYUS33</t>
  </si>
  <si>
    <t>33 Liberty Street , NY 1004 ,USA</t>
  </si>
  <si>
    <t>Federal Reserve Bank of New York</t>
  </si>
  <si>
    <r>
      <t>!</t>
    </r>
    <r>
      <rPr>
        <sz val="12"/>
        <rFont val="Arial"/>
        <family val="2"/>
      </rPr>
      <t xml:space="preserve"> Please list all issues raised in the last Management Letter from the Global Fund or outstanding from previous Management Letters, and comment on the progress. Please include the date of the management letter and the item number. Reference: management letter dated 10 February 2011</t>
    </r>
  </si>
  <si>
    <t>% of HIV seroprevalence among all newly registered TB patients</t>
  </si>
  <si>
    <t xml:space="preserve">% of adults and children who are still on treatment after 6 months, 1, 2, 3, 5 years from the initiation of treatment </t>
  </si>
  <si>
    <t>BSS (Behavioral and Surveillance Survey)</t>
  </si>
  <si>
    <t>Prevention: STI diagnosis and treatment</t>
  </si>
  <si>
    <t xml:space="preserve">% of injecting drug users who have adopted behaviors that reduce transmission of HIV. </t>
  </si>
  <si>
    <t>Sentinel surveillance</t>
  </si>
  <si>
    <t>Prevention: Blood safety and universal precaution</t>
  </si>
  <si>
    <t xml:space="preserve">% of orphaned children compared to non-orphaned children aged 10-14 who are currently attending school </t>
  </si>
  <si>
    <t>Serological surveys</t>
  </si>
  <si>
    <t>Treatment: Antiretroviral treatment (ARV) and monitoring</t>
  </si>
  <si>
    <t xml:space="preserve">% of young people aged 15-24 reporting the use of a condom the last time they had sex with a non-regular sexual partner </t>
  </si>
  <si>
    <t>Prevalence surveys</t>
  </si>
  <si>
    <t>Treatment: Prophylaxis and treatment for opportunistic infections</t>
  </si>
  <si>
    <t xml:space="preserve">% of people expressing accepting attitudes towards PLWHA, of all people surveyed aged 15-49 </t>
  </si>
  <si>
    <t xml:space="preserve">Facility-based survey </t>
  </si>
  <si>
    <t>Section 3A: Total PR Cash Outflow</t>
  </si>
  <si>
    <t>Disbursement Request - Period Covered:</t>
  </si>
  <si>
    <t>Disbursement Request - Number:</t>
  </si>
  <si>
    <t xml:space="preserve">% of female sex workers reporting the use of a condom with every client in the last month </t>
  </si>
  <si>
    <t>Key informant survey</t>
  </si>
  <si>
    <t>Care and support: Support for orphans and vulnerable children</t>
  </si>
  <si>
    <t xml:space="preserve">% of men who have had sex with a female sex worker in the last year </t>
  </si>
  <si>
    <t>Specific surveys (to be defined)</t>
  </si>
  <si>
    <t>TB/HIV collaborative activities: Intensified case-finding among PLWHA</t>
  </si>
  <si>
    <t xml:space="preserve">% of men reporting the use of condom the last time they had anal sex with a male partner in the last 6 months </t>
  </si>
  <si>
    <t xml:space="preserve">Civil registration systems (vital/disease specific registration) </t>
  </si>
  <si>
    <t>TB/HIV collaborative activities: Prevention of TB disease in PLWHA</t>
  </si>
  <si>
    <t>Census</t>
  </si>
  <si>
    <t>TB/HIV collaborative activities: Prevention of HIV in TB patients</t>
  </si>
  <si>
    <t>Health service statistics</t>
  </si>
  <si>
    <t>TB/HIV collaborative activities: Prevention of opportunistic infections in PLWHA with TB</t>
  </si>
  <si>
    <t>Patient register</t>
  </si>
  <si>
    <t xml:space="preserve">TB/HIV collaborative activities: HIV care and support for HIV-positive TB patients </t>
  </si>
  <si>
    <t xml:space="preserve">Clinical cohort follow-up studies </t>
  </si>
  <si>
    <t>TB/HIV collaborative activities: Provision of antiretroviral treatment for TB patients during TB treatment</t>
  </si>
  <si>
    <t>Community services assessment</t>
  </si>
  <si>
    <t>Supportive environment: Policy development including workplace policy</t>
  </si>
  <si>
    <t>Records: laboratory, patient (e.g. treatment cards), training, certification, other (to be specified)</t>
  </si>
  <si>
    <t xml:space="preserve">Supportive environment: Strengthening of civil society and institutional capacity building </t>
  </si>
  <si>
    <t>Operational research</t>
  </si>
  <si>
    <t>Supportive environment: Stigma reduction in all settings</t>
  </si>
  <si>
    <t>HSS: Service delivery</t>
  </si>
  <si>
    <t>HSS: PAL (Practical Approach to Lung Health)</t>
  </si>
  <si>
    <t>HSS: Human resources</t>
  </si>
  <si>
    <t>HSS: Community Systems Strengthening</t>
  </si>
  <si>
    <t>HSS: Information system &amp; Operational research</t>
  </si>
  <si>
    <t>HSS: Infrastructure</t>
  </si>
  <si>
    <t>HSS: Procurement and Supply management</t>
  </si>
  <si>
    <t>please select…</t>
  </si>
  <si>
    <t>Improving diagnosis</t>
  </si>
  <si>
    <t>TB prevalence rate</t>
  </si>
  <si>
    <t>Case detection</t>
  </si>
  <si>
    <t>Standardized treatment, patient support and patient charter</t>
  </si>
  <si>
    <t>TB incidence rate</t>
  </si>
  <si>
    <t>Treatment success rate</t>
  </si>
  <si>
    <r>
      <t xml:space="preserve">List of </t>
    </r>
    <r>
      <rPr>
        <b/>
        <u/>
        <sz val="10"/>
        <color indexed="8"/>
        <rFont val="Calibri"/>
        <family val="2"/>
      </rPr>
      <t>Latest Approved</t>
    </r>
    <r>
      <rPr>
        <b/>
        <sz val="10"/>
        <color indexed="8"/>
        <rFont val="Calibri"/>
        <family val="2"/>
      </rPr>
      <t xml:space="preserve"> Documents by functional area</t>
    </r>
  </si>
  <si>
    <t xml:space="preserve">To be made available to the LFA by the PR  </t>
  </si>
  <si>
    <t>To be submitted by the LFA to the Secretariat</t>
  </si>
  <si>
    <t>Performance Framework</t>
  </si>
  <si>
    <t>x</t>
  </si>
  <si>
    <t>M&amp;E Plan</t>
  </si>
  <si>
    <t>Survey results</t>
  </si>
  <si>
    <t>For Impact/Outcome indicators</t>
  </si>
  <si>
    <t>If newly available during the reporting period.</t>
  </si>
  <si>
    <t>Other M&amp;E assessments done by partners to assess data quality and M&amp;E system issues.</t>
  </si>
  <si>
    <t>Procurement</t>
  </si>
  <si>
    <t>Consumption reports for pharmaceuticals and health products</t>
  </si>
  <si>
    <t>Supplier invoices</t>
  </si>
  <si>
    <t>PSM Plan</t>
  </si>
  <si>
    <t>Stock level reports</t>
  </si>
  <si>
    <t>Finance</t>
  </si>
  <si>
    <t>Approved budgets</t>
  </si>
  <si>
    <t>For the periods covered by Progress Update and Disbursement Request, including the buffer period.</t>
  </si>
  <si>
    <t>Statement of sources and uses of funds (Cash flow statement)</t>
  </si>
  <si>
    <t>Cash books</t>
  </si>
  <si>
    <t xml:space="preserve">General Ledger </t>
  </si>
  <si>
    <t xml:space="preserve">Cash forecasts </t>
  </si>
  <si>
    <t>Bank statements</t>
  </si>
  <si>
    <t>Bank Reconciliations</t>
  </si>
  <si>
    <t>Annual PR Audit Report, Financial Statements, Management Letters and Responses (if Due)</t>
  </si>
  <si>
    <t>Annual SR Audit Report, Financial Statements, Management Letters and Responses (if Due)</t>
  </si>
  <si>
    <t>General Management</t>
  </si>
  <si>
    <t>Grant Agreement (including Annex A and subsequent implementation letters)</t>
  </si>
  <si>
    <t>Workplan</t>
  </si>
  <si>
    <t>This checklist is included for information and not for completion.</t>
  </si>
  <si>
    <t>Procurement and supply management</t>
  </si>
  <si>
    <t>TB mortality rate</t>
  </si>
  <si>
    <t>Smear conversion rate</t>
  </si>
  <si>
    <t>M&amp;E</t>
  </si>
  <si>
    <t>TB/HIV</t>
  </si>
  <si>
    <t>MDR-TB</t>
  </si>
  <si>
    <t xml:space="preserve">High-risk groups </t>
  </si>
  <si>
    <t>HSS (beyond TB)</t>
  </si>
  <si>
    <t>PAL (Practical Approach to Lung Health)</t>
  </si>
  <si>
    <t>PR-reported amounts</t>
  </si>
  <si>
    <t>LFA-verified amounts</t>
  </si>
  <si>
    <t>3.  Cash disbursed to third parties by the Global Fund on behalf of the PR during the period covered by this progress update:</t>
  </si>
  <si>
    <t>Forecasted amount  (reported by PR):</t>
  </si>
  <si>
    <t>LFA-adjusted forecasted amount:</t>
  </si>
  <si>
    <t>PR-requested amount</t>
  </si>
  <si>
    <t>LFA-recommended amount</t>
  </si>
  <si>
    <t>PPM / ISTC (Public-Public, Public-Private Mix (PPM) approaches and International standards for TB care)</t>
  </si>
  <si>
    <t xml:space="preserve">ACSM (Advocacy, communication and social mobilization) </t>
  </si>
  <si>
    <t>Community TB care</t>
  </si>
  <si>
    <t>Programme-based operational research</t>
  </si>
  <si>
    <t>R&amp;R TB system, quarterly report</t>
  </si>
  <si>
    <t xml:space="preserve">R&amp;R TB system, yearly management report </t>
  </si>
  <si>
    <t>Other Surveillance reports, specify</t>
  </si>
  <si>
    <t xml:space="preserve">Death rates associated with Malaria: all-cause under-5 mortality rate in highly endemic areas </t>
  </si>
  <si>
    <t>% of U5 children (and other target groups) with malaria/fever receiving appropriate treatment within 24 hours (community/health facility)</t>
  </si>
  <si>
    <t xml:space="preserve">Incidence of clinical malaria cases (estimated and/or reported) </t>
  </si>
  <si>
    <t>% of U5 children (and other target group) with uncomplicated malaria correctly managed at health facilities</t>
  </si>
  <si>
    <t>Prevention: Insecticide-treated nets (ITNs)</t>
  </si>
  <si>
    <t>Anaemia prevalence in children under 5 years of age</t>
  </si>
  <si>
    <t>% of U5 children (and other target groups) admitted with severe malaria and correctly managed at health facilities</t>
  </si>
  <si>
    <t>Prevention: Malaria prevention during pregnancy</t>
  </si>
  <si>
    <t xml:space="preserve">Prevalence of malaria parasite infection </t>
  </si>
  <si>
    <t>LFA-Verified Budget for Reporting Period</t>
  </si>
  <si>
    <t>LFA-Verified Actual for Reporting Period</t>
  </si>
  <si>
    <t>LFA-Verified Actual through period of Progress Update</t>
  </si>
  <si>
    <t>PR Audit Report</t>
  </si>
  <si>
    <t>Global Fund Management Actions</t>
  </si>
  <si>
    <t>PR Comments on Progress of Implementation</t>
  </si>
  <si>
    <t>2. Pharmaceuticals &amp; health product expenditures vs. budget</t>
  </si>
  <si>
    <t>Budget for Reporting Period*</t>
  </si>
  <si>
    <t>LFA-Verified Cumulative Budget through period of Progress Update</t>
  </si>
  <si>
    <t>Analysis
(this should not be a "Copy and Paste" of the comments provided by the PR)</t>
  </si>
  <si>
    <t>Baseline 
(if applicable)</t>
  </si>
  <si>
    <t>Data Source of Results</t>
  </si>
  <si>
    <t>Disbursement Request Period</t>
  </si>
  <si>
    <t>Summary</t>
  </si>
  <si>
    <t>Beneficiary Name</t>
  </si>
  <si>
    <t>Payee 1:</t>
  </si>
  <si>
    <t>Payee 2:</t>
  </si>
  <si>
    <t>Payee 3:</t>
  </si>
  <si>
    <t>Payee 4:</t>
  </si>
  <si>
    <t>Beneficiary Name:</t>
  </si>
  <si>
    <t>Amount in Words:</t>
  </si>
  <si>
    <t>Bank Account Number:</t>
  </si>
  <si>
    <t>Bank Code (Other):</t>
  </si>
  <si>
    <t>Routing Instructions:</t>
  </si>
  <si>
    <t>PR SECTION</t>
  </si>
  <si>
    <t>LFA SECTION</t>
  </si>
  <si>
    <t>LFA Review of PR Progress on Global Fund Management Actions</t>
  </si>
  <si>
    <t>Functional Areas</t>
  </si>
  <si>
    <t>Section 6:  LFA EVALUATION AND COMMENTS ON OVERALL PERFORMANCE</t>
  </si>
  <si>
    <t>Section 7:  Disbursement Recommendation</t>
  </si>
  <si>
    <t>Objective
No.</t>
  </si>
  <si>
    <t>Year of Target</t>
  </si>
  <si>
    <t>Intended Target</t>
  </si>
  <si>
    <t>Actual Result</t>
  </si>
  <si>
    <t>Intended Target
to date</t>
  </si>
  <si>
    <t>Actual Result
to date</t>
  </si>
  <si>
    <r>
      <t xml:space="preserve">Intended Target
 </t>
    </r>
    <r>
      <rPr>
        <sz val="11"/>
        <rFont val="Arial"/>
        <family val="2"/>
      </rPr>
      <t>(from Attachment)</t>
    </r>
  </si>
  <si>
    <r>
      <t xml:space="preserve">Actual Result
</t>
    </r>
    <r>
      <rPr>
        <sz val="11"/>
        <rFont val="Arial"/>
        <family val="2"/>
      </rPr>
      <t>(as reported by PR)</t>
    </r>
  </si>
  <si>
    <r>
      <t xml:space="preserve">Actual Result
to date
</t>
    </r>
    <r>
      <rPr>
        <sz val="11"/>
        <rFont val="Arial"/>
        <family val="2"/>
      </rPr>
      <t>(as reported by PR)</t>
    </r>
  </si>
  <si>
    <t>Section 1:  Programmatic Progress</t>
  </si>
  <si>
    <t>Section 1:   LFA Review and Verification of the Principal Recipient's Programmatic Progress</t>
  </si>
  <si>
    <t>Tied To</t>
  </si>
  <si>
    <t>LFA analysis on issues related to the procurement and supply management of pharmaceuticals and health products</t>
  </si>
  <si>
    <t>4.  Interest received on bank account</t>
  </si>
  <si>
    <t>5.  Revenue from income-generating activities (if applicable)</t>
  </si>
  <si>
    <t>1. Total PR cash outflow vs. budget</t>
  </si>
  <si>
    <t>A.  LFA-VERIFIED CASH RECONCILIATION FOR PERIOD COVERED BY PROGRESS UPDATE</t>
  </si>
  <si>
    <t>1.  Cash amount requested from the Global Fund (from line 14 – “PR's Disbursement Request” in the tab “PR_Disbursement Request_4B”), in grant currency</t>
  </si>
  <si>
    <t>Cumulative Budget through period of Progress Update*</t>
  </si>
  <si>
    <t>*TOTAL amount for these columns should reconcile with relevant amounts under "1b Disbursed to Sub Recipients" in Section 3A"</t>
  </si>
  <si>
    <t>** Where the number of SRs is significant (over 10), SRs with small budgets (less than $50,000 cumulative each) do not need to be reported separately and the figures can be aggregated in a group called "Other Minor SRs"</t>
  </si>
  <si>
    <t>Comments on the explanations for variances provided by the PR (LFA can also provide comment directly on the EFR template completed by the PR)</t>
  </si>
  <si>
    <r>
      <t xml:space="preserve">Comments on the process, assumptions and supporting documentation used by the PR to complete the template. </t>
    </r>
    <r>
      <rPr>
        <i/>
        <sz val="11"/>
        <rFont val="Arial"/>
        <family val="2"/>
      </rPr>
      <t>(If space is insufficient, please provide comments in an addendum)</t>
    </r>
  </si>
  <si>
    <t>The total budget figure is accurate based on existing approved budgets.</t>
  </si>
  <si>
    <t>The reporting dates are correct for both current period and cumulative period.</t>
  </si>
  <si>
    <t>The total figures in Tables A, B and C are equal.</t>
  </si>
  <si>
    <t>The template has been fully completed.</t>
  </si>
  <si>
    <t>Comments if any:</t>
  </si>
  <si>
    <t>The following information provided by the Principal Recipient in its EFR has been checked.</t>
  </si>
  <si>
    <t>LFA review of Enhanced Financial Reporting template</t>
  </si>
  <si>
    <t xml:space="preserve"> </t>
  </si>
  <si>
    <t>Clinical cohort follow-up studies</t>
  </si>
  <si>
    <t>Total</t>
  </si>
  <si>
    <t>NB: This page should be completed if (1) this is a split disbursement (i.e. disbursement going to more than one recipient) or (2) if there have been changes to the bank details since the previous disbursement.</t>
  </si>
  <si>
    <t>Amount in grant currency</t>
  </si>
  <si>
    <t>Payee 1 - Principal Recipient:</t>
  </si>
  <si>
    <t>Amount in currency in which beneficiary
should receive the funds:</t>
  </si>
  <si>
    <r>
      <t xml:space="preserve">Exchange rate, date and source
</t>
    </r>
    <r>
      <rPr>
        <sz val="10"/>
        <rFont val="Arial"/>
        <family val="2"/>
      </rPr>
      <t>(Complete only if currency in which beneficiary should receive the funds is different from the grant currency)</t>
    </r>
  </si>
  <si>
    <r>
      <t xml:space="preserve">Equivalent in grant currency 
</t>
    </r>
    <r>
      <rPr>
        <sz val="10"/>
        <rFont val="Arial"/>
        <family val="2"/>
      </rPr>
      <t>(Calculated based on the indicated exchange rate)</t>
    </r>
  </si>
  <si>
    <r>
      <t xml:space="preserve">Currency
</t>
    </r>
    <r>
      <rPr>
        <sz val="10"/>
        <rFont val="Arial"/>
        <family val="2"/>
      </rPr>
      <t>in which beneficiary should receive the funds</t>
    </r>
  </si>
  <si>
    <t>Bank Address</t>
  </si>
  <si>
    <t>Monitoring &amp; Evaluation</t>
  </si>
  <si>
    <t>Living Support to Clients/Target Populations</t>
  </si>
  <si>
    <r>
      <t xml:space="preserve">To add additional rows, right click the row number (Row 39 in a blank template) to the left of the row above the row for TOTAL and select copy, then over the same number, right click again and select Insert Copied Cells. </t>
    </r>
    <r>
      <rPr>
        <b/>
        <sz val="10"/>
        <rFont val="Arial"/>
        <family val="2"/>
      </rPr>
      <t>WARNING</t>
    </r>
    <r>
      <rPr>
        <sz val="10"/>
        <rFont val="Arial"/>
        <family val="2"/>
      </rPr>
      <t xml:space="preserve">: Inserting Rows without copying a row as described above will cause the formula in the variance column to become invalid and will mean the overall information will be inaccurate.
</t>
    </r>
  </si>
  <si>
    <r>
      <t xml:space="preserve">To add additional rows, right click the row number (Row 51 in a blank template) to the left of the row above the row for TOTAL and select copy, then over the same number, right click again and select Insert Copied Cells. </t>
    </r>
    <r>
      <rPr>
        <b/>
        <sz val="10"/>
        <rFont val="Arial"/>
        <family val="2"/>
      </rPr>
      <t>WARNING</t>
    </r>
    <r>
      <rPr>
        <sz val="10"/>
        <rFont val="Arial"/>
        <family val="2"/>
      </rPr>
      <t>: Inserting Rows without copying a row as described above will cause the formula in the variance column to become invalid and will mean the overall information will be inaccurate.</t>
    </r>
  </si>
  <si>
    <r>
      <t>* The sum of all three breakdowns should be equal (</t>
    </r>
    <r>
      <rPr>
        <i/>
        <sz val="10"/>
        <rFont val="Arial"/>
        <family val="2"/>
      </rPr>
      <t>A-</t>
    </r>
    <r>
      <rPr>
        <sz val="10"/>
        <rFont val="Arial"/>
        <family val="2"/>
      </rPr>
      <t xml:space="preserve"> Budget Line-item, </t>
    </r>
    <r>
      <rPr>
        <i/>
        <sz val="10"/>
        <rFont val="Arial"/>
        <family val="2"/>
      </rPr>
      <t>B-</t>
    </r>
    <r>
      <rPr>
        <sz val="10"/>
        <rFont val="Arial"/>
        <family val="2"/>
      </rPr>
      <t xml:space="preserve"> Program Activity, </t>
    </r>
    <r>
      <rPr>
        <i/>
        <sz val="10"/>
        <rFont val="Arial"/>
        <family val="2"/>
      </rPr>
      <t>C-</t>
    </r>
    <r>
      <rPr>
        <sz val="10"/>
        <rFont val="Arial"/>
        <family val="2"/>
      </rPr>
      <t xml:space="preserve"> Implementing Entity).</t>
    </r>
  </si>
  <si>
    <t>WHO Global report/estimates</t>
  </si>
  <si>
    <t>Other (type as appropriate)</t>
  </si>
  <si>
    <t>E- DISBURSEMENTS BREAKDOWN BY IMPLEMENTING ENTITY</t>
  </si>
  <si>
    <t>Cumulative Disbursements</t>
  </si>
  <si>
    <t>Note for LFAs: This page should be completed by the PR if (1) this is a split disbursement (i.e. disbursement going to more than one recipient) or (2) if there have been changes to the bank details since the previous disbursement.  The amounts and bank details below are displayed as entered by the PR.  If any of this information is incorrect, please correct them by overwriting with correct information.</t>
  </si>
  <si>
    <t>Cumulative Period</t>
  </si>
  <si>
    <t>A.  PR COMMENTS ON THE FULFILLMENT OF CONDITIONS PRECEDENT AND/OR SPECIAL CONDITIONS UNDER THE GRANT AGREEMENT</t>
  </si>
  <si>
    <t>B.  PR REVIEW OF PROGRESS ON IMPLEMENTATION OF OUTSTANDING MANAGEMENT ACTIONS FROM PREVIOUS DISBURSEMENTS</t>
  </si>
  <si>
    <t>C.  PR COMMENTS ON ANNUAL GRANT REPORTING REQUIREMENTS</t>
  </si>
  <si>
    <t>SECTION 3B: HIV/AIDS FINANCIAL REPORTING FORM</t>
  </si>
  <si>
    <t>Section 4:  Procurement and Supply Management</t>
  </si>
  <si>
    <t>Section 5: Cash Reconciliation and Disbursement Request</t>
  </si>
  <si>
    <t>1.  Period beginning date:</t>
  </si>
  <si>
    <t>4.  Cash "in transit" disbursed to the PR:</t>
  </si>
  <si>
    <t>5. Cash "in transit" disbursed to third parties by the Global Fund on behalf of the PR</t>
  </si>
  <si>
    <t>6.  PR's Disbursement Request to the Global Fund for the period immediately following the period covered by the Progress Update, plus additional period (cash buffer):</t>
  </si>
  <si>
    <t>7.  Does the PR's Disbursement Request include funds for health product procurement?</t>
  </si>
  <si>
    <t>8. Exchange Rate (used to translate local currency into grant currency)</t>
  </si>
  <si>
    <t>Section 6:  Overall Performance</t>
  </si>
  <si>
    <t>Section 7: Cash Request and Authorization</t>
  </si>
  <si>
    <t>7C:  Bank Account Details</t>
  </si>
  <si>
    <t>A.  PR &amp; LFA COMMENTS ON THE FULFILLMENT OF OUTSTANDING CONDITIONS PRECEDENT AND/OR SPECIAL CONDITIONS UNDER THE GRANT AGREEMENT</t>
  </si>
  <si>
    <t>B.  PR &amp; LFA REVIEW OF PROGRESS ON IMPLEMENTATION OF OUTSTANDING MANAGEMENT ACTIONS FROM PREVIOUS DISBURSEMENTS</t>
  </si>
  <si>
    <t>C.  PR &amp; LFA COMMENTS ON ANNUAL GRANT REPORTING REQUIREMENTS</t>
  </si>
  <si>
    <t>Section 3B: ENHANCED FINANCIAL REPORTING PERIOD</t>
  </si>
  <si>
    <t>1.  CHECKLIST</t>
  </si>
  <si>
    <t>2.  COMPLETION OF THE TEMPLATE</t>
  </si>
  <si>
    <t>3. VARIANCE ANALYSIS</t>
  </si>
  <si>
    <t>1b.  Value of Pharmaceuticals and Health Products in the PQR (6 categories only)</t>
  </si>
  <si>
    <r>
      <t xml:space="preserve">2. Based on best information available to the LFA, are there any risks of drug stockout </t>
    </r>
    <r>
      <rPr>
        <b/>
        <u/>
        <sz val="11"/>
        <rFont val="Arial"/>
        <family val="2"/>
      </rPr>
      <t>at the central level</t>
    </r>
    <r>
      <rPr>
        <b/>
        <sz val="11"/>
        <rFont val="Arial"/>
        <family val="2"/>
      </rPr>
      <t xml:space="preserve"> in the next period of implementation?  (If yes, please explain in comments box)
! </t>
    </r>
    <r>
      <rPr>
        <sz val="11"/>
        <rFont val="Arial"/>
        <family val="2"/>
      </rPr>
      <t>This section should be completed by the LFA based on best information on stock levels at the central level available to the LFA and should not require dedicated visits for on-site checks of stocks.</t>
    </r>
    <r>
      <rPr>
        <b/>
        <sz val="11"/>
        <rFont val="Arial"/>
        <family val="2"/>
      </rPr>
      <t xml:space="preserve">
</t>
    </r>
  </si>
  <si>
    <t>3.  PR comments on issues related to the procurement and supply management of pharmaceuticals and health products</t>
  </si>
  <si>
    <t>Section 4: LFA-verified Procurement and Supply Management Information</t>
  </si>
  <si>
    <t xml:space="preserve">LFA-specific section:  LFA Findings &amp; Recommendations  </t>
  </si>
  <si>
    <t>4. Cash "in transit" disbursed to the PR:</t>
  </si>
  <si>
    <t>5. Cash "in transit" disbursed to third parties by the Global Fund on behalf of the PR :</t>
  </si>
  <si>
    <t>6. Disbursement Request to the Global Fund for the period immediately following the period covered by the Progress Update, plus additional period (cash buffer):</t>
  </si>
  <si>
    <t xml:space="preserve">7C:  LFA-verified Bank Account Details </t>
  </si>
  <si>
    <r>
      <t xml:space="preserve">NB: Please ensure that section 7C Bank Details on the following page is completed, if (1) this is a split disbursement (i.e. disbursement going to more than one recipient) or (2) if there have been </t>
    </r>
    <r>
      <rPr>
        <b/>
        <u/>
        <sz val="12"/>
        <color indexed="12"/>
        <rFont val="Arial"/>
        <family val="2"/>
      </rPr>
      <t>changes</t>
    </r>
    <r>
      <rPr>
        <b/>
        <sz val="12"/>
        <color indexed="12"/>
        <rFont val="Arial"/>
        <family val="2"/>
      </rPr>
      <t xml:space="preserve"> to the bank details since the previous disbursement.</t>
    </r>
  </si>
  <si>
    <t>NB: Please ensure that section 7C Bank Details on the following page is completed  if (1) this is a split disbursement (i.e. disbursement going to more than one recipient) or (2) if there have been changes to the bank details since the previous disbursement.</t>
  </si>
  <si>
    <t>1.  Cash Balance: Beginning of period covered by Progress Update (line 10 from Cash Reconciliation section of the period covered  by the previous Progress Update):</t>
  </si>
  <si>
    <t>1.  Cash Balance: Beginning of period covered by Progress Update (line 10 from Cash Reconciliation section of the period covered by the previous Progress Update):</t>
  </si>
  <si>
    <t>7.  Total PR cash outflow during period covered by Progress Update (value entered in Section 3A "Total cash outflow"):</t>
  </si>
  <si>
    <t>B.  Programmatic Indicators</t>
  </si>
  <si>
    <t xml:space="preserve">Targets cumulative?
</t>
  </si>
  <si>
    <t>B. Programmatic Indicators</t>
  </si>
  <si>
    <t xml:space="preserve">1a.  Has the PR updated the Price Quality Reporting (PQR) with the required information on the pharmaceuticals and health products received during the period covered by this PU/DR’ (if applicable)?  (If health products procurement information has not been entered into the PQR, please explain why in comments box)    </t>
  </si>
  <si>
    <t>Value of  products received during reporting period</t>
  </si>
  <si>
    <t>Cumulative value of  products received since Jan 2011</t>
  </si>
  <si>
    <t>Cumulative value of products verified as correct by the LFA in the PQR since Jan 2011</t>
  </si>
  <si>
    <t>Note for LFAs: The information below is displayed as entered by the PR.  If any of this information is incorrect, please correct them by overwriting with correct information.</t>
  </si>
  <si>
    <t xml:space="preserve">Note: All programmatic indicators contained in the current Performance Framework should be listed, regardless of whether there are targets/results for the period covered by the Progress Update or whether the targets have been met in previous periods.  </t>
  </si>
  <si>
    <t>3. Cash Balance: End of period covered by Progress Update (number 10 from PR Cash Reconciliation sheet):</t>
  </si>
  <si>
    <t>3. Cash Balance: End of period covered by Progress Update (number 10 from LFA or PR Cash Reconciliation sheet):</t>
  </si>
  <si>
    <t>A1</t>
  </si>
  <si>
    <t>A2</t>
  </si>
  <si>
    <t>B1</t>
  </si>
  <si>
    <t xml:space="preserve">B2 </t>
  </si>
  <si>
    <t>C</t>
  </si>
  <si>
    <t>Exceeding expectations</t>
  </si>
  <si>
    <t>Meeting expectations</t>
  </si>
  <si>
    <t>Performance rating</t>
  </si>
  <si>
    <t>Range for cumulative disbursement amount (after the currently recommended disbursement)</t>
  </si>
  <si>
    <t>Above 95% of cumulative budget through the next reporting period</t>
  </si>
  <si>
    <t>Between 85-105% of cumulative budget through the next reporting period</t>
  </si>
  <si>
    <t>Between 55-95% of cumulative budget through the next reporting period</t>
  </si>
  <si>
    <t>Between 25-65% of cumulative budget through the next reporting period</t>
  </si>
  <si>
    <t>Below 35% of cumulative budget through the next reporting period</t>
  </si>
  <si>
    <t>Is the recommended disbursement within the range?</t>
  </si>
  <si>
    <t>Inadequate but potential demonstrated</t>
  </si>
  <si>
    <t>Adequate</t>
  </si>
  <si>
    <t>Unacceptable</t>
  </si>
  <si>
    <t xml:space="preserve">Select </t>
  </si>
  <si>
    <r>
      <t xml:space="preserve">  (cash "buffer") beginning date</t>
    </r>
    <r>
      <rPr>
        <sz val="11"/>
        <rFont val="Arial"/>
        <family val="2"/>
      </rPr>
      <t>:</t>
    </r>
  </si>
  <si>
    <t>(cash "buffer") beginning date</t>
  </si>
  <si>
    <t>(2) When the additional (cash "buffer" ) period is 1 or 2months, the approved budget and forecasted amounts should be calculated as prorated values for the period following the regular buffer period.</t>
  </si>
  <si>
    <r>
      <t>cash "buffer" agreed with FPM</t>
    </r>
    <r>
      <rPr>
        <b/>
        <sz val="11"/>
        <rFont val="Arial"/>
        <family val="2"/>
      </rPr>
      <t xml:space="preserve"> (2)</t>
    </r>
  </si>
  <si>
    <r>
      <t>Cumulative disbursed amount to date</t>
    </r>
    <r>
      <rPr>
        <b/>
        <sz val="11"/>
        <color indexed="8"/>
        <rFont val="Arial"/>
        <family val="2"/>
      </rPr>
      <t xml:space="preserve"> (*)</t>
    </r>
  </si>
  <si>
    <r>
      <t xml:space="preserve"> </t>
    </r>
    <r>
      <rPr>
        <b/>
        <sz val="11"/>
        <rFont val="Arial"/>
        <family val="2"/>
      </rPr>
      <t>(*)</t>
    </r>
    <r>
      <rPr>
        <sz val="11"/>
        <rFont val="Arial"/>
        <family val="2"/>
      </rPr>
      <t xml:space="preserve">This data can be obtained from the "Disbursements in detail report (PDF)" (http://www.theglobalfund.org/documents/disbursementdetails.pdf) </t>
    </r>
  </si>
  <si>
    <t>A. DISBURSEMENT RECOMMENDATION</t>
  </si>
  <si>
    <t>B.  VERIFICATIONS</t>
  </si>
  <si>
    <t>Current budget forecasts of the Principal Recipient for the next disbursement period plus buffer period have been reviewed for reasonableness</t>
  </si>
  <si>
    <t>2a. Cash buffer period (by default)</t>
  </si>
  <si>
    <t>Cumulative budget through the next period of implementation (including the buffer)</t>
  </si>
  <si>
    <t>Cumulative disbursed after recommended disbursement (including the buffer)</t>
  </si>
  <si>
    <t>Indicative disbursement ranges by performance rating (included as a reference)</t>
  </si>
  <si>
    <t>3.  Rationale for the LFA's disbursement recommendation (if resulting in cumulative disbursement outside the indicative ranges):</t>
  </si>
  <si>
    <t>(2) When the additional (cash "buffer" ) period is 1 or 2 months, the approved budget and forecasted amounts should be calculated as prorated values for the period following the regular buffer period.</t>
  </si>
  <si>
    <t>LFA_Findings &amp; Recommendations</t>
  </si>
  <si>
    <r>
      <t>!</t>
    </r>
    <r>
      <rPr>
        <sz val="13"/>
        <rFont val="Arial"/>
        <family val="2"/>
      </rPr>
      <t xml:space="preserve"> This table should contain a full text of the CP and/or other special conditions due for fulfilment during this period or outstanding from previous periods.</t>
    </r>
  </si>
  <si>
    <r>
      <t xml:space="preserve">! </t>
    </r>
    <r>
      <rPr>
        <sz val="13"/>
        <rFont val="Arial"/>
        <family val="2"/>
      </rPr>
      <t>Some Special Conditions may apply to more than one period of grant implementation.  Their fulfilment during one period does not automatically imply fulfilment in subsequent periods.  The LFA should verify that the status of such conditions is reported by the PR during each period concerned.</t>
    </r>
  </si>
  <si>
    <t>M&amp;E Systems Strengthening Assessment</t>
  </si>
  <si>
    <r>
      <t xml:space="preserve">2b.  Additional "buffer" (discretionary, select only if there is a prior agreement with the FPM) </t>
    </r>
    <r>
      <rPr>
        <b/>
        <sz val="11"/>
        <rFont val="Arial"/>
        <family val="2"/>
      </rPr>
      <t>(1)</t>
    </r>
  </si>
  <si>
    <t>(1) Upon agreement with the FPM, additional Cash buffer can be requested if the PU/DR report contains a completed EFR report or a completed Annex on SR financials, requested by the Secretariat, or if there are any additional GF-specific requirements that cannot be delivered within 45 days.  However such requests may or may not be satisfied based on the review of the current PUDR</t>
  </si>
  <si>
    <t>Indicator rating</t>
  </si>
  <si>
    <t>Any major management issues resulting in downgrade?</t>
  </si>
  <si>
    <t>Overall Grant Rating</t>
  </si>
  <si>
    <t>A.  Overall Evaluation and Rating of Grant Performance (including a summary of how financial performance is linked to programmatic achievements)</t>
  </si>
  <si>
    <r>
      <t xml:space="preserve">! </t>
    </r>
    <r>
      <rPr>
        <sz val="11"/>
        <rFont val="Arial"/>
        <family val="2"/>
      </rPr>
      <t xml:space="preserve"> The evaluation should be undertaken by taking into account programmatic achievements, financial performance and program issues in various functional areas (M&amp;E, Finance, Procurement, and Program Management, including management of sub-recipients).  See Guidelines for more detailed guidance on the completion of this section.</t>
    </r>
    <r>
      <rPr>
        <sz val="11"/>
        <color indexed="53"/>
        <rFont val="Arial"/>
        <family val="2"/>
      </rPr>
      <t xml:space="preserve">
</t>
    </r>
    <r>
      <rPr>
        <b/>
        <sz val="11"/>
        <color indexed="12"/>
        <rFont val="Arial"/>
        <family val="2"/>
      </rPr>
      <t>!</t>
    </r>
    <r>
      <rPr>
        <sz val="11"/>
        <color indexed="53"/>
        <rFont val="Arial"/>
        <family val="2"/>
      </rPr>
      <t xml:space="preserve"> </t>
    </r>
    <r>
      <rPr>
        <sz val="11"/>
        <rFont val="Arial"/>
        <family val="2"/>
      </rPr>
      <t xml:space="preserve"> For RCC grants, this section should cover the period from the RCC start date through the end date of the current Progress Update period.                                                                                                                                          </t>
    </r>
    <r>
      <rPr>
        <b/>
        <sz val="11"/>
        <color indexed="12"/>
        <rFont val="Arial"/>
        <family val="2"/>
      </rPr>
      <t>!</t>
    </r>
    <r>
      <rPr>
        <b/>
        <sz val="11"/>
        <rFont val="Arial"/>
        <family val="2"/>
      </rPr>
      <t xml:space="preserve"> </t>
    </r>
    <r>
      <rPr>
        <sz val="11"/>
        <rFont val="Arial"/>
        <family val="2"/>
      </rPr>
      <t>For guidance on the methodology for rating overall performance, refer to Annex 2 of Guidelines.</t>
    </r>
  </si>
  <si>
    <t>Overall Rating</t>
  </si>
  <si>
    <t>D.  Summary of the LFA's approach used for verification of financial, programmatic and procurement data and Quality Assurance undertaken by the LFA</t>
  </si>
  <si>
    <r>
      <t xml:space="preserve">PR Bank details verified/corrected by LFA
</t>
    </r>
    <r>
      <rPr>
        <b/>
        <sz val="11"/>
        <color indexed="12"/>
        <rFont val="Arial"/>
        <family val="2"/>
      </rPr>
      <t/>
    </r>
  </si>
  <si>
    <t>% range</t>
  </si>
  <si>
    <t>TB Detection</t>
  </si>
  <si>
    <t>TB Treatment</t>
  </si>
  <si>
    <t>Prevention: Behavioral Change Communication - Mass Media</t>
  </si>
  <si>
    <t>Prevention: Behavioral Change Communication - Community Outreach</t>
  </si>
  <si>
    <t>Ministry Health (MoH)</t>
  </si>
  <si>
    <t>Other Multilateral Organization</t>
  </si>
  <si>
    <t>Health System Strengthening (HSS)</t>
  </si>
  <si>
    <t>Prevention: Insecticite-treated nets (ITNs)</t>
  </si>
  <si>
    <t>Prevention: Malaria in pregnancy</t>
  </si>
  <si>
    <t>Prevention: Other - specify</t>
  </si>
  <si>
    <t>Treatment: Prompt, effective antimalatial treatment</t>
  </si>
  <si>
    <t>Health System Strengthening</t>
  </si>
  <si>
    <t>Standardized treatment, pation support and patient charter</t>
  </si>
  <si>
    <t>Procurement and Supply management</t>
  </si>
  <si>
    <t>High-risk groups</t>
  </si>
  <si>
    <t>8.  Exchange Rate (used to translate local currency into grant currency)</t>
  </si>
  <si>
    <t xml:space="preserve">Name of local currency, date and source of the exchange rate, and other comments (if appropriate) </t>
  </si>
  <si>
    <t>Name of local currency and LFA comments on the exchange rates used by the PR</t>
  </si>
  <si>
    <t>Current Period</t>
  </si>
  <si>
    <t>The PR expenditure in Table C is consistent with PR expenditure for the same period as provided in the Progress Updates/Disbursements Request (PU/DR).</t>
  </si>
  <si>
    <t xml:space="preserve">The total expenditure is supported by appropriate documentation ( PR expenditure reports, bank reconciliations, SR expenditure reports to PR etc.) or reasonable assumptions. </t>
  </si>
  <si>
    <t>LFA Comments on the PR's overall verification efforts of SR expenditure and the explanations of variance provided</t>
  </si>
  <si>
    <r>
      <rPr>
        <b/>
        <sz val="12"/>
        <rFont val="Arial"/>
        <family val="2"/>
      </rPr>
      <t>*</t>
    </r>
    <r>
      <rPr>
        <b/>
        <sz val="11"/>
        <rFont val="Arial"/>
        <family val="2"/>
      </rPr>
      <t xml:space="preserve"> Indicator No.</t>
    </r>
  </si>
  <si>
    <r>
      <t>TO BE COMPLETED ONLY</t>
    </r>
    <r>
      <rPr>
        <b/>
        <i/>
        <u/>
        <sz val="10"/>
        <rFont val="Arial"/>
        <family val="2"/>
      </rPr>
      <t xml:space="preserve"> ONCE</t>
    </r>
    <r>
      <rPr>
        <b/>
        <i/>
        <sz val="10"/>
        <rFont val="Arial"/>
        <family val="2"/>
      </rPr>
      <t xml:space="preserve"> A YEAR EXCEPT AT MONTH 18 FOR PURPOSES OF PHASE 2 REVIEW</t>
    </r>
  </si>
  <si>
    <r>
      <t xml:space="preserve">Please explain any significant variance (based on your judgment) between the forecasted amounts and the amounts as per approved budgets.  Please specify the main factors and related amounts that are the major drivers of the variance. 
NB. Consider the following items when providing the analysis. 
  - Expected timing of payments for any significant budgetary items,
  - Impact of existing cash balance at SR levels
  - Current confirmed commitments to be paid during disbursement request period 
  - Current/expected unit prices compared to those in the budget 
  - Change in quantities compared to budget
  - Exchange rates and inflation
  - Linkage between budget absorption and programmatic performance to-date.
</t>
    </r>
    <r>
      <rPr>
        <b/>
        <sz val="11"/>
        <rFont val="Arial"/>
        <family val="2"/>
      </rPr>
      <t xml:space="preserve">! </t>
    </r>
    <r>
      <rPr>
        <sz val="11"/>
        <rFont val="Arial"/>
        <family val="2"/>
      </rPr>
      <t>The forecast should include any existing commitments (eligible under this grant) as of the end of the reporting period and which are likely to be paid during the disbursement period</t>
    </r>
  </si>
  <si>
    <r>
      <t xml:space="preserve">PR's explanation of variance (1) between cumulative budget and cumulative expenditure and (2) between cumulative disbursement and cumulative expenditure </t>
    </r>
    <r>
      <rPr>
        <sz val="11"/>
        <rFont val="Arial"/>
        <family val="2"/>
      </rPr>
      <t>(mandatory for amounts above $50,000 or equivalent and with more than 10% variance)</t>
    </r>
  </si>
  <si>
    <t>Value of products entered by the PR and verified as correct by the LFA in the PQR during reporting period</t>
  </si>
  <si>
    <r>
      <t>LFA's explanation of any significant variance between forecasted amounts and amounts as originally budgeted.</t>
    </r>
    <r>
      <rPr>
        <sz val="11"/>
        <rFont val="Arial"/>
        <family val="2"/>
      </rPr>
      <t xml:space="preserve">
Please explain any significant variance (based on your judgment) between the forecasted amounts and the amounts as per approved budgets.  Please specify the main factors and related amounts that are the major drivers of the variance. 
NB. Consider the following items when providing the analysis. 
  - Expected timing of payments for any significant budgetary items,
  - Impact of existing cash balance at SR levels
  - Current confirmed commitments to be paid during disbursement request period 
  - Current/expected unit prices compared to those in the budget 
  - Change in quantities compared to budget
  - Exchange rates and inflation
  - Linkage between budget absorption and programmatic performance to-date.
</t>
    </r>
    <r>
      <rPr>
        <i/>
        <sz val="11"/>
        <rFont val="Arial"/>
        <family val="2"/>
      </rPr>
      <t xml:space="preserve">
</t>
    </r>
    <r>
      <rPr>
        <b/>
        <sz val="11"/>
        <rFont val="Arial"/>
        <family val="2"/>
      </rPr>
      <t>!</t>
    </r>
    <r>
      <rPr>
        <sz val="11"/>
        <rFont val="Arial"/>
        <family val="2"/>
      </rPr>
      <t xml:space="preserve"> The forecast should include any existing commitments (eligible under this grant) as of the end of the reporting period and which are likely to be paid during the disbursement period</t>
    </r>
  </si>
  <si>
    <r>
      <t xml:space="preserve">PR's explanation of variance 
(1) between cumulative budget and cumulative expenditure and 
(2) between cumulative disbursement and cumulative expenditure </t>
    </r>
    <r>
      <rPr>
        <sz val="11"/>
        <rFont val="Arial"/>
        <family val="2"/>
      </rPr>
      <t>(mandatory for amounts above $50,000 or equivalent and with more than 10% variance)</t>
    </r>
  </si>
  <si>
    <t>** Where the number of SRs is significant (over 10), SRs with small budgets (less than $50,000 or EUR equivalent cumulative each) do not need to be reported separately and the figures can be aggregated in a group called "Other Minor SRs"</t>
  </si>
  <si>
    <r>
      <rPr>
        <b/>
        <sz val="13"/>
        <color indexed="12"/>
        <rFont val="Arial"/>
        <family val="2"/>
      </rPr>
      <t>!</t>
    </r>
    <r>
      <rPr>
        <sz val="13"/>
        <rFont val="Arial"/>
        <family val="2"/>
      </rPr>
      <t xml:space="preserve"> If a Condition Precedent that was previously fulfilled is re-opened due to new circumstances, and the issue addressed by this condition is considered critical, the issue should be disclosed by the LFA in the Section 4 LFA Findings and Recommendations.  At the discretion of the Fund Portfolio Manager, the issue may be followed up through the management actions assigned by the Global Fund to the PR.</t>
    </r>
  </si>
  <si>
    <r>
      <rPr>
        <b/>
        <sz val="14"/>
        <color indexed="12"/>
        <rFont val="Arial"/>
        <family val="2"/>
      </rPr>
      <t>!</t>
    </r>
    <r>
      <rPr>
        <sz val="14"/>
        <rFont val="Arial"/>
        <family val="2"/>
      </rPr>
      <t xml:space="preserve"> Based on the information provided in the previous sections and your understanding of the grant, please summarise any </t>
    </r>
    <r>
      <rPr>
        <u/>
        <sz val="14"/>
        <rFont val="Arial"/>
        <family val="2"/>
      </rPr>
      <t>important</t>
    </r>
    <r>
      <rPr>
        <sz val="14"/>
        <rFont val="Arial"/>
        <family val="2"/>
      </rPr>
      <t xml:space="preserve"> management issues, proposing a recommendation for each.
</t>
    </r>
    <r>
      <rPr>
        <b/>
        <sz val="14"/>
        <color indexed="12"/>
        <rFont val="Arial"/>
        <family val="2"/>
      </rPr>
      <t xml:space="preserve">NB: an issue is considered as 'important' if it impacts or is likely to impact program implementation and results.  </t>
    </r>
    <r>
      <rPr>
        <b/>
        <sz val="14"/>
        <rFont val="Arial"/>
        <family val="2"/>
      </rPr>
      <t xml:space="preserve">  </t>
    </r>
    <r>
      <rPr>
        <sz val="14"/>
        <rFont val="Arial"/>
        <family val="2"/>
      </rPr>
      <t xml:space="preserve">                                                                                                                                                                                                      </t>
    </r>
    <r>
      <rPr>
        <sz val="14"/>
        <color indexed="12"/>
        <rFont val="Arial"/>
        <family val="2"/>
      </rPr>
      <t xml:space="preserve">! </t>
    </r>
    <r>
      <rPr>
        <sz val="14"/>
        <rFont val="Arial"/>
        <family val="2"/>
      </rPr>
      <t>Instead of repeating detailed descriptions of issues covered in other sections, it is acceptable to state the issue and reference the section containing the details.</t>
    </r>
  </si>
  <si>
    <t>On-going Progress Update and Disbursement Request and LFA On-going Progress Review and Disbursement Recommendation</t>
  </si>
  <si>
    <t xml:space="preserve">In completing this report, please refer  to the detailed "Guidelines for completing the
PR “ongoing progress update and disbursement request”, and LFA “ongoing progress review and disbursement recommendation”
</t>
  </si>
  <si>
    <r>
      <t>*</t>
    </r>
    <r>
      <rPr>
        <b/>
        <sz val="11"/>
        <rFont val="Arial"/>
        <family val="2"/>
      </rPr>
      <t xml:space="preserve"> Indicator No. should correspond to the indicator number listed in the approved Performance Framework of the grant (1.1, 1.2, etc.)</t>
    </r>
  </si>
  <si>
    <r>
      <rPr>
        <b/>
        <sz val="12"/>
        <color indexed="12"/>
        <rFont val="Arial"/>
        <family val="2"/>
      </rPr>
      <t>!</t>
    </r>
    <r>
      <rPr>
        <sz val="12"/>
        <rFont val="Arial"/>
        <family val="2"/>
      </rPr>
      <t xml:space="preserve"> Please include in this table the CP number as per Grant Agreement and full text of CPs and/or other special conditions due for fulfilment during this period </t>
    </r>
    <r>
      <rPr>
        <u/>
        <sz val="12"/>
        <rFont val="Arial"/>
        <family val="2"/>
      </rPr>
      <t>or</t>
    </r>
    <r>
      <rPr>
        <sz val="12"/>
        <rFont val="Arial"/>
        <family val="2"/>
      </rPr>
      <t xml:space="preserve"> outstanding from previous periods. 
</t>
    </r>
    <r>
      <rPr>
        <b/>
        <sz val="12"/>
        <color indexed="12"/>
        <rFont val="Arial"/>
        <family val="2"/>
      </rPr>
      <t>!</t>
    </r>
    <r>
      <rPr>
        <sz val="12"/>
        <color indexed="12"/>
        <rFont val="Arial"/>
        <family val="2"/>
      </rPr>
      <t xml:space="preserve"> </t>
    </r>
    <r>
      <rPr>
        <sz val="12"/>
        <rFont val="Arial"/>
        <family val="2"/>
      </rPr>
      <t>Some Special Conditions may apply to more than one period of grant implementation.  Their fulfilment during one period does not automatically imply fulfilment in subsequent periods.  The LFA should verify that the status of such conditions is reported by the PR during each period concerned.</t>
    </r>
  </si>
  <si>
    <r>
      <t xml:space="preserve">1a.  Have you updated the Price Quality Reporting (PQR) with the required information on the pharmaceuticals and health products received during the period covered by this PU/DR’ (if applicable)?  If health products procurement information has not been entered into the PQR, please explain why.
     </t>
    </r>
    <r>
      <rPr>
        <b/>
        <sz val="11"/>
        <color indexed="12"/>
        <rFont val="Arial"/>
        <family val="2"/>
      </rPr>
      <t>!</t>
    </r>
    <r>
      <rPr>
        <sz val="11"/>
        <rFont val="Arial"/>
        <family val="2"/>
      </rPr>
      <t xml:space="preserve">  For further guidance on PQR data entry, please refer to the guidelines.</t>
    </r>
  </si>
  <si>
    <r>
      <t xml:space="preserve">2.  Based on the most up-to-date stock situation, are there any risks of stockouts of key pharmaceuticals &amp; health products </t>
    </r>
    <r>
      <rPr>
        <b/>
        <u/>
        <sz val="11"/>
        <rFont val="Arial"/>
        <family val="2"/>
      </rPr>
      <t>at the central level</t>
    </r>
    <r>
      <rPr>
        <b/>
        <sz val="11"/>
        <rFont val="Arial"/>
        <family val="2"/>
      </rPr>
      <t xml:space="preserve"> in the next period of implementation?  If yes, please comment.</t>
    </r>
  </si>
  <si>
    <r>
      <t>!</t>
    </r>
    <r>
      <rPr>
        <sz val="11"/>
        <rFont val="Arial"/>
        <family val="2"/>
      </rPr>
      <t xml:space="preserve"> An explanation must be provided if there have been any adjustments.</t>
    </r>
  </si>
  <si>
    <t>(1) Additional Cash buffer can be requested if the next PU/DR report will contain a completed EFR report or a completed Annex on SR financials, requested by the Secretariat, or if there are any additional GF-specific requirements that cannot be delivered within 45 days. An agreement in principal from the FPM should be obtained prior to requesting an additional cash buffer.</t>
  </si>
  <si>
    <r>
      <t xml:space="preserve">! </t>
    </r>
    <r>
      <rPr>
        <sz val="11"/>
        <color indexed="53"/>
        <rFont val="Arial"/>
        <family val="2"/>
      </rPr>
      <t xml:space="preserve"> </t>
    </r>
    <r>
      <rPr>
        <sz val="11"/>
        <rFont val="Arial"/>
        <family val="2"/>
      </rPr>
      <t>The self-evaluation should be undertaken by taking into account programmatic achievements, financial performance and program issues in various functional areas (M&amp;E, Finance, Procurement, and Program Management, including management of sub-recipients).  See Guidelines for more detailed guidance.</t>
    </r>
    <r>
      <rPr>
        <b/>
        <sz val="11"/>
        <color indexed="12"/>
        <rFont val="Arial"/>
        <family val="2"/>
      </rPr>
      <t/>
    </r>
  </si>
  <si>
    <t>Cumulative Budget through period of this Progress Update*</t>
  </si>
  <si>
    <t>Cumulative Disbursed through period of this Progress Update*</t>
  </si>
  <si>
    <t>Cash balance at the end of the period covered by this Progress Update</t>
  </si>
  <si>
    <t>See guidance on SSUF content and format in the guidelines.</t>
  </si>
  <si>
    <r>
      <t>!</t>
    </r>
    <r>
      <rPr>
        <sz val="13"/>
        <rFont val="Arial"/>
        <family val="2"/>
      </rPr>
      <t xml:space="preserve"> This table should contain all issues raised in the last Management Letter from the Global Fund or outstanding from previous Management Letters, and comment on the progress.</t>
    </r>
  </si>
  <si>
    <r>
      <t>(!)</t>
    </r>
    <r>
      <rPr>
        <sz val="11"/>
        <rFont val="Arial"/>
        <family val="2"/>
      </rPr>
      <t xml:space="preserve"> This table is included in the PU/DR form with the aim to improve completeness of information in the PQR system and not for comparing PQR amounts vis-à-vis expenditure per se. NB: PQR and expenditure amounts on health products may not be equal due to a timelag between payments and delivery of pharmaceuticals/health products.
</t>
    </r>
    <r>
      <rPr>
        <b/>
        <sz val="11"/>
        <color indexed="12"/>
        <rFont val="Arial"/>
        <family val="2"/>
      </rPr>
      <t>(!)</t>
    </r>
    <r>
      <rPr>
        <sz val="11"/>
        <rFont val="Arial"/>
        <family val="2"/>
      </rPr>
      <t xml:space="preserve">  For further guidance on PQR data entry, please refer to the guidelines.</t>
    </r>
  </si>
  <si>
    <t xml:space="preserve">Variance between Latest Cumulative Expenditure Reported and Cumulative Budget </t>
  </si>
  <si>
    <t>Currency</t>
  </si>
  <si>
    <t>Top 10 indicator?</t>
  </si>
  <si>
    <t>LFA has debriefed the Principal Recipient on the key findings (comment on the format of this debriefing)</t>
  </si>
  <si>
    <t>Description of Identified Issues 
(in order of importance)</t>
  </si>
  <si>
    <t>LFA Recommendations 
(in order of importance)</t>
  </si>
  <si>
    <t>Status</t>
  </si>
  <si>
    <t>1. Total cash outflow vs. budget</t>
  </si>
  <si>
    <r>
      <t xml:space="preserve">2.  Cash received by the PR from the Global Fund during the period covered by this progress update: </t>
    </r>
    <r>
      <rPr>
        <vertAlign val="superscript"/>
        <sz val="11"/>
        <rFont val="Arial"/>
        <family val="2"/>
      </rPr>
      <t>(1)</t>
    </r>
  </si>
  <si>
    <r>
      <t xml:space="preserve"> by the Progress Update</t>
    </r>
    <r>
      <rPr>
        <sz val="11"/>
        <rFont val="Arial"/>
        <family val="2"/>
      </rPr>
      <t>:</t>
    </r>
  </si>
  <si>
    <t>Section 3A:  Total PR Cash Outflow</t>
  </si>
  <si>
    <t xml:space="preserve">LFA Comments/Analysis </t>
  </si>
  <si>
    <t>1. Anti-malaria medicines</t>
  </si>
  <si>
    <t>3. Rapid Diagnostic Tests</t>
  </si>
  <si>
    <t>4. Condoms</t>
  </si>
  <si>
    <t>5. Anti-retrovirals</t>
  </si>
  <si>
    <t>6. Anti-TB Medicines</t>
  </si>
  <si>
    <t>Yes</t>
  </si>
  <si>
    <t>No</t>
  </si>
  <si>
    <t>Program management (including SR management)</t>
  </si>
  <si>
    <t>Financial management and systems</t>
  </si>
  <si>
    <t>Monitoring and evaluation</t>
  </si>
  <si>
    <t>Outcome</t>
  </si>
  <si>
    <t>Pharmaceutical &amp; health product management</t>
  </si>
  <si>
    <t>Other management issues, including: PR capacity to develop quality programmatic and financial reports</t>
  </si>
  <si>
    <t>2. Bed nets</t>
  </si>
  <si>
    <t>Reasons for programmatic deviation from intended target and deviations from the related workplan activities</t>
  </si>
  <si>
    <t>Verified Result</t>
  </si>
  <si>
    <t>A.  Impact / Outcome Indicators</t>
  </si>
  <si>
    <t>A. Impact / Outcome Indicators</t>
  </si>
  <si>
    <t>Name of Entity</t>
  </si>
  <si>
    <t>Type of Implementing Entity</t>
  </si>
  <si>
    <t>Date of Most Recent Disbursement to SR</t>
  </si>
  <si>
    <t>Disbursed during Reporting Period*</t>
  </si>
  <si>
    <t>Cumulative Disbursed through period of Progress Update*</t>
  </si>
  <si>
    <t>Latest Cumulative Actual Expenditure (as per most recent SR reports available at PR level)</t>
  </si>
  <si>
    <t>End date of period covered in most recent SR report</t>
  </si>
  <si>
    <t>Expenditure Verified by PR (YES/NO)</t>
  </si>
  <si>
    <t>TOTAL</t>
  </si>
  <si>
    <t>Approved budget amount (reported by PR):</t>
  </si>
  <si>
    <r>
      <t xml:space="preserve">Due date 
</t>
    </r>
    <r>
      <rPr>
        <b/>
        <sz val="9"/>
        <rFont val="Arial"/>
        <family val="2"/>
      </rPr>
      <t>(dd-mmm-yy)</t>
    </r>
  </si>
  <si>
    <t xml:space="preserve">    2a.  Medicines and pharmaceutical products</t>
  </si>
  <si>
    <t xml:space="preserve">    2b.  Health products and health equipment</t>
  </si>
  <si>
    <t>approved budget amount:</t>
  </si>
  <si>
    <t>LFA-verified approved budget amount:</t>
  </si>
  <si>
    <r>
      <t xml:space="preserve">3.  Cash disbursed to third parties by the Global Fund on behalf of the PR during the period covered by this progress update: </t>
    </r>
    <r>
      <rPr>
        <vertAlign val="superscript"/>
        <sz val="11"/>
        <rFont val="Arial"/>
        <family val="2"/>
      </rPr>
      <t>(1)</t>
    </r>
  </si>
  <si>
    <t>- used to convert Total PR Cash Outflow for the Progress Update Period</t>
  </si>
  <si>
    <t>6.  Other income, if applicable (e.g. income from disposal of fixed assets, tax refunds)</t>
  </si>
  <si>
    <r>
      <t xml:space="preserve">8.  Net exchange rate gains/losses </t>
    </r>
    <r>
      <rPr>
        <i/>
        <sz val="11"/>
        <rFont val="Arial"/>
        <family val="2"/>
      </rPr>
      <t>(gains should be shown with a minus sign; losses should be shown with a plus sign)</t>
    </r>
  </si>
  <si>
    <t>8.  Net exchange rate gains/losses (gains should be shown with a minus sign; losses should be shown with a plus sign)</t>
  </si>
  <si>
    <t>Rates used by the PR</t>
  </si>
  <si>
    <t>LFA-verified rates</t>
  </si>
  <si>
    <t>Due date</t>
  </si>
  <si>
    <t>Cumulative Budget through period of Progress Update</t>
  </si>
  <si>
    <t>2. Total pharmaceutical &amp; health product expenditures vs. budget</t>
  </si>
  <si>
    <t>2.  Cash received by the PR from the Global Fund during the period covered by this progress update:</t>
  </si>
  <si>
    <t>- used to convert Total Cash Outflow for the Progress Update Period</t>
  </si>
  <si>
    <t>7.  Total cash outflow during period covered by Progress Update (value entered in Section 3A "Total cash outflow"):</t>
  </si>
  <si>
    <t>LFA-VERIFIED TABLES ON TOTAL PR CASH OUTFLOW</t>
  </si>
  <si>
    <t>Tied to</t>
  </si>
  <si>
    <t>State the amount in words</t>
  </si>
  <si>
    <t xml:space="preserve">* If LFA-entered data differs from PR's figures, the respective cells will change colour automatically </t>
  </si>
  <si>
    <t>On-going Progress Update and Disbursement Request</t>
  </si>
  <si>
    <t>Note: The table below should contain those Impact/Outcome indicators that are (1) due for reporting during the current year of a grant and (2) those reporting on which is overdue from the previous periods.</t>
  </si>
  <si>
    <r>
      <t xml:space="preserve">Intended Target
to date
 </t>
    </r>
    <r>
      <rPr>
        <sz val="11"/>
        <rFont val="Arial"/>
        <family val="2"/>
      </rPr>
      <t>(from PF)</t>
    </r>
  </si>
  <si>
    <t>Actual Cash Outflow for Reporting Period</t>
  </si>
  <si>
    <t>Cumulative Actual Cash Outflow through period of Progress Update</t>
  </si>
  <si>
    <t>PR's explanation of variance (mandatory for amounts above $50,000 and with more than 10% variance)</t>
  </si>
  <si>
    <t>B.  LFA-RECOMMENDED DISBURSEMENT AMOUNT AND EXPLANATIONS</t>
  </si>
  <si>
    <t>Country:</t>
  </si>
  <si>
    <t>Disease:</t>
  </si>
  <si>
    <t>Grant number:</t>
  </si>
  <si>
    <t xml:space="preserve">LFA comments on (a) verified result, (b) source of information used by the PR to report results, including the status of completion of surveys and other methods to measure Impact/Outcome, as applicable,  </t>
  </si>
  <si>
    <r>
      <t xml:space="preserve">LFA analysis on progress to date and any variance between targets and results, and any other comments
</t>
    </r>
    <r>
      <rPr>
        <sz val="11"/>
        <rFont val="Arial"/>
        <family val="2"/>
      </rPr>
      <t>(</t>
    </r>
    <r>
      <rPr>
        <u/>
        <sz val="11"/>
        <rFont val="Arial"/>
        <family val="2"/>
      </rPr>
      <t>this should not be a “Copy and Paste” of the reasons provided by the PR</t>
    </r>
    <r>
      <rPr>
        <sz val="11"/>
        <rFont val="Arial"/>
        <family val="2"/>
      </rPr>
      <t>)</t>
    </r>
  </si>
  <si>
    <r>
      <t xml:space="preserve">% achievement
</t>
    </r>
    <r>
      <rPr>
        <u/>
        <sz val="11"/>
        <rFont val="Arial"/>
        <family val="2"/>
      </rPr>
      <t>(Please calculate as appropriate</t>
    </r>
    <r>
      <rPr>
        <sz val="11"/>
        <rFont val="Arial"/>
        <family val="2"/>
      </rPr>
      <t>)</t>
    </r>
  </si>
  <si>
    <r>
      <t xml:space="preserve">C LFA comments on data quality and reporting issues
</t>
    </r>
    <r>
      <rPr>
        <b/>
        <sz val="11"/>
        <color indexed="12"/>
        <rFont val="Arial"/>
        <family val="2"/>
      </rPr>
      <t>(!)</t>
    </r>
    <r>
      <rPr>
        <b/>
        <sz val="11"/>
        <rFont val="Arial"/>
        <family val="2"/>
      </rPr>
      <t xml:space="preserve"> </t>
    </r>
    <r>
      <rPr>
        <sz val="11"/>
        <rFont val="Arial"/>
        <family val="2"/>
      </rPr>
      <t xml:space="preserve">This section should contain any common issues and/or additional information related to data quality and reporting on the programmatic indicators which are not covered in 'LFA analysis on progress to date and any variance between targets and results' </t>
    </r>
  </si>
  <si>
    <t>Country</t>
  </si>
  <si>
    <t>PLEASE REFER TO THE "GUIDANCE FOR COMPLETION OF THE ENHANCED FINANCIAL REPORTING TEMPLATE" DOCUMENT TO ASSIST YOU IN COMPLETING THE TEMPLATE</t>
  </si>
  <si>
    <t>Grant No.</t>
  </si>
  <si>
    <t>PR</t>
  </si>
  <si>
    <t>Please Select …</t>
  </si>
  <si>
    <t>dd-mm-yyyy</t>
  </si>
  <si>
    <t>Current Reporting Period</t>
  </si>
  <si>
    <t>Start Date:</t>
  </si>
  <si>
    <t>Cumulative Reporting Period</t>
  </si>
  <si>
    <t>The end date for the current reporting period and cumulative reporting period must be the same</t>
  </si>
  <si>
    <t xml:space="preserve">The "TOTAL" rows in Table A, B and C will have a RED background if the amounts in each table do not agree. If the Totals for each Table agrees, these rows will have a YELLOW background. </t>
  </si>
  <si>
    <t>A- BREAKDOWN* BY  EXPENDITURE CATEGORY</t>
  </si>
  <si>
    <t>#</t>
  </si>
  <si>
    <t>Category</t>
  </si>
  <si>
    <t xml:space="preserve"> 
Budget</t>
  </si>
  <si>
    <t xml:space="preserve">
Expenditures</t>
  </si>
  <si>
    <t>Cumulative Budget</t>
  </si>
  <si>
    <t>Cumulative Expenditure</t>
  </si>
  <si>
    <t>Human Resources</t>
  </si>
  <si>
    <t>Technical Assistance</t>
  </si>
  <si>
    <t>Training</t>
  </si>
  <si>
    <t>Health Products and Health Equipment</t>
  </si>
  <si>
    <t>Medicines and Pharmaceutical Products</t>
  </si>
  <si>
    <t>Procurement and Supply Management Costs</t>
  </si>
  <si>
    <t>Infrastructure and Other Equipment</t>
  </si>
  <si>
    <t>Communication Materials</t>
  </si>
  <si>
    <t>Planning and Administration</t>
  </si>
  <si>
    <t>Overheads</t>
  </si>
  <si>
    <t>Other</t>
  </si>
  <si>
    <t>B- BREAKDOWN* BY PROGRAM ACTIVITY</t>
  </si>
  <si>
    <t>Macro-category</t>
  </si>
  <si>
    <t>Objectives</t>
  </si>
  <si>
    <t>Service Delivery Area</t>
  </si>
  <si>
    <t>Please Select…</t>
  </si>
  <si>
    <t>C- BREAKDOWN* BY IMPLEMENTING ENTITY</t>
  </si>
  <si>
    <t>PR/SR</t>
  </si>
  <si>
    <t>Name</t>
  </si>
  <si>
    <t>Type of
Implementing Entity</t>
  </si>
  <si>
    <t>** For the purposes of this report, the SDA Program management and administration should be included in the Supportive Environment Macro Category.</t>
  </si>
  <si>
    <t>D- ADDITIONAL INFORMATION</t>
  </si>
  <si>
    <r>
      <t>Please disclose any relevant information concerning the information in the above tables.</t>
    </r>
    <r>
      <rPr>
        <b/>
        <i/>
        <sz val="11"/>
        <rFont val="Arial"/>
        <family val="2"/>
      </rPr>
      <t xml:space="preserve"> Refer to the Guidelines for Completing the Template if required.</t>
    </r>
  </si>
  <si>
    <t>3.  Indicate any expenditures (incurred or forecasted) that should not be financed by the Global Fund</t>
  </si>
  <si>
    <t>Annex to PU/DR - Sub-recipient financial information - FOR DISCRETIONARY COMPLETION, UPON THE SECRETARIAT'S REQUEST</t>
  </si>
  <si>
    <t>Has the Secretariat requested the PR to complete this Annex for this reporting period?</t>
  </si>
  <si>
    <t>Prevention</t>
  </si>
  <si>
    <t>Treatment</t>
  </si>
  <si>
    <t>Care and Support</t>
  </si>
  <si>
    <t>TB/HIV Collaborative Activities</t>
  </si>
  <si>
    <t>Supportive Environment</t>
  </si>
  <si>
    <t>-</t>
  </si>
  <si>
    <t>FBO</t>
  </si>
  <si>
    <t>NGO/CBO/Academic</t>
  </si>
  <si>
    <t>Private Sector</t>
  </si>
  <si>
    <t>Other Government</t>
  </si>
  <si>
    <t>UNDP</t>
  </si>
  <si>
    <r>
      <t>!</t>
    </r>
    <r>
      <rPr>
        <sz val="14"/>
        <rFont val="Arial"/>
        <family val="2"/>
      </rPr>
      <t xml:space="preserve"> For RCC grants the cumulative section of the table below should contain cumulative amount from the start of the RCC and not from the start of Phase 1 of the program.</t>
    </r>
  </si>
  <si>
    <t>9. Reconciliation adjustments (gains should be shown with a minus sign; losses should be shown with a plus sign)</t>
  </si>
  <si>
    <r>
      <t xml:space="preserve">9. Reconciliation adjustments </t>
    </r>
    <r>
      <rPr>
        <i/>
        <sz val="11"/>
        <rFont val="Arial"/>
        <family val="2"/>
      </rPr>
      <t>(gains should be shown with a minus sign; losses should be shown with a plus sign</t>
    </r>
    <r>
      <rPr>
        <sz val="11"/>
        <rFont val="Arial"/>
        <family val="2"/>
      </rPr>
      <t>)</t>
    </r>
  </si>
  <si>
    <t>10.  Cash Balance: End of period covered by Progress Update:</t>
  </si>
  <si>
    <t>Explanation of reconciliation adjustments (line 9)</t>
  </si>
  <si>
    <t>LFA Comments on verified amounts (if they are different from those reported by the PR) and PR's explanation of reconciliation adjustments (line 9)</t>
  </si>
  <si>
    <t>Objective No.</t>
  </si>
  <si>
    <t>TERMS AND ACRONYMS USED IN THIS PROGRESS REVIEW AND DISBURSEMENT RECOMMENDATION HAVE THE MEANING GIVEN TO THEM IN THE GRANT AGREEMENT RELATING TO THE ABOVE GRANT</t>
  </si>
  <si>
    <t>Verification Method</t>
  </si>
  <si>
    <t>LFA Organization / Responsible office:</t>
  </si>
  <si>
    <t>Signature on behalf of Principal Recipient is authentic and the person to whom it belongs is authorized to sign the disbursement request</t>
  </si>
  <si>
    <t>Conditions Precedent for disbursement and/or Special Conditions, if any, have been met (see Section 2, if applicable).</t>
  </si>
  <si>
    <t>Programmatic information provided by Principal Recipient in its On-going Progress Review and Disbursement Recommendation has been verified and corresponds with actual program progress.</t>
  </si>
  <si>
    <t>Exchange rate stated by Principal Recipient has been verified and is correct.</t>
  </si>
  <si>
    <t xml:space="preserve">Signed on behalf of the LFA: </t>
  </si>
  <si>
    <t xml:space="preserve">Name: </t>
  </si>
  <si>
    <t xml:space="preserve">Title: </t>
  </si>
  <si>
    <t xml:space="preserve">Date and Place: </t>
  </si>
  <si>
    <t>On behalf of the PR, the undersigned hereby requests the Global Fund to disburse funds under the above-referenced Grant Agreement as follows:</t>
  </si>
  <si>
    <t>List of supporting documents for PU/DR review</t>
  </si>
  <si>
    <t>PR's explanation of any significant variance between forecasted amounts and amounts as originally budgeted.</t>
  </si>
  <si>
    <r>
      <t xml:space="preserve">The following information provided by the Principal Recipient in its </t>
    </r>
    <r>
      <rPr>
        <i/>
        <sz val="11"/>
        <rFont val="Arial"/>
        <family val="2"/>
      </rPr>
      <t>On-going Progress Review and Disbursement Request</t>
    </r>
    <r>
      <rPr>
        <sz val="11"/>
        <rFont val="Arial"/>
        <family val="2"/>
      </rPr>
      <t xml:space="preserve"> has been verified:</t>
    </r>
  </si>
  <si>
    <t>Program Expenditures and cash reconciliation have been verified and correspond with the PR's Statement of Sources and Uses of Funds (Cash Flow Statement).</t>
  </si>
  <si>
    <t>Comments regarding verifications, if any:</t>
  </si>
  <si>
    <t>GENERAL GRANT INFORMATION</t>
  </si>
  <si>
    <t>PROGRESS UPDATE PERIOD</t>
  </si>
  <si>
    <t>DISBURSEMENT REQUEST PERIOD</t>
  </si>
  <si>
    <t>Upon completion, this form should be submitted (with supporting documentation) to the Local Fund Agent and copied to the Global Fund.</t>
  </si>
  <si>
    <t>Service Delivery Areas</t>
  </si>
  <si>
    <t>Impact Indicators</t>
  </si>
  <si>
    <t>IndicatorTypes</t>
  </si>
  <si>
    <t>Outcome Indicators</t>
  </si>
  <si>
    <t>DataSources</t>
  </si>
  <si>
    <t>Please select…</t>
  </si>
  <si>
    <t xml:space="preserve">% of young women and men aged 15-24 who are HIV infected </t>
  </si>
  <si>
    <t>impact</t>
  </si>
  <si>
    <t xml:space="preserve">% of young people aged 15-24 who had sex with more than one partner in the last year </t>
  </si>
  <si>
    <t>National Health Accounts</t>
  </si>
  <si>
    <t>Please enter a corresponding indicator here…</t>
  </si>
  <si>
    <t xml:space="preserve">% of adults aged 15-49 who are HIV infected </t>
  </si>
  <si>
    <t>outcome</t>
  </si>
  <si>
    <t xml:space="preserve">% of young people aged 15-19 who have never had sex </t>
  </si>
  <si>
    <t>DHS/DHS+ (Demographic and Health Survey)</t>
  </si>
  <si>
    <t>Please enter a data source here…</t>
  </si>
  <si>
    <t>Prevention: Condom distribution</t>
  </si>
  <si>
    <t xml:space="preserve">% of adults and children with HIV still alive 12 months after initiation of antiretroviral therapy (extend to 2, 3, 5 years as program matures) </t>
  </si>
  <si>
    <t>% of young people aged 15-24 who never had sex in the last year of those who ever had sex</t>
  </si>
  <si>
    <t>MICS (Multiple Indicator Cluster Survey)</t>
  </si>
  <si>
    <t>Please enter a SDA here…</t>
  </si>
  <si>
    <t xml:space="preserve">% of infants born to HIV infected mothers who are infected </t>
  </si>
  <si>
    <t xml:space="preserve">% of young people aged 15-24 reporting the consistent use of a condom with non-regular sexual partners in the last year </t>
  </si>
  <si>
    <t>AIS (AIDS Indicator Survey)</t>
  </si>
  <si>
    <t>Prevention: PMTCT</t>
  </si>
  <si>
    <t xml:space="preserve">% of most-at-risk population(s) (sex workers, clients of sex workers, men who have sex with men, injecting drug users) who are HIV infected </t>
  </si>
  <si>
    <t xml:space="preserve">% of young women and men who had sex before the age of 15 </t>
  </si>
  <si>
    <t>SAMS (Service Availibility Mapping Survey)</t>
  </si>
  <si>
    <t xml:space="preserve">Conditions Precedent and/or other special conditions
</t>
  </si>
  <si>
    <r>
      <t xml:space="preserve">! </t>
    </r>
    <r>
      <rPr>
        <sz val="13"/>
        <rFont val="Arial"/>
        <family val="2"/>
      </rPr>
      <t>Please indicate a date for the report due for submission.  If a report is overdue, indicate the original due date and explain the reason for delay.</t>
    </r>
  </si>
  <si>
    <t>This table should contain the due date for the report due for submission.  If a report is overdue, indicate the original due date and explain the reason for delay.</t>
  </si>
  <si>
    <t>FPM Comments
(to be completed upon receipt of the LFA-verified form)</t>
  </si>
  <si>
    <t>% of children U5 sleeping under an ITN the previous night</t>
  </si>
  <si>
    <t>MIS (Malaria Indicator Survey)</t>
  </si>
  <si>
    <t>Prevention: Vector control (other than ITNs)</t>
  </si>
  <si>
    <t>Laboratory-confirmed malaria cases seen in heath facilities</t>
  </si>
  <si>
    <t>% of households with at least one ITN</t>
  </si>
  <si>
    <t>Prevention: other - specify</t>
  </si>
  <si>
    <t>Laboratory-confirmed malaria deaths seen in health facilities</t>
  </si>
  <si>
    <t>% of pregnant women (and other target groups) sleeping under an ITN the previous night</t>
  </si>
  <si>
    <t>Treatment: Prompt, effective anti-malarial treatment</t>
  </si>
  <si>
    <t>Malaria-attributed deaths in sentinel demographic surveillance sites</t>
  </si>
  <si>
    <t>% of pregnant women on Intermittent preventive treatment (IPT) according to national policy (specific to Sub-Saharian Africa)</t>
  </si>
  <si>
    <t>PR Total Forecast</t>
  </si>
  <si>
    <t>LFA Total Forecast</t>
  </si>
  <si>
    <t>Treatment: Home based management of malaria</t>
  </si>
  <si>
    <t>API (Annual Parasite Index) (specific to Latin America and Asia)</t>
  </si>
  <si>
    <t>% of households in malaria areas protected by IRS</t>
  </si>
  <si>
    <t>MOH (routine HIS or HMIS)</t>
  </si>
  <si>
    <t>Treatment: Diagnosis</t>
  </si>
  <si>
    <t>RBM (Roll Back Malaria)</t>
  </si>
  <si>
    <t>Treatment: other - specify</t>
  </si>
  <si>
    <t>Supportive environment: Monitoring drug resistance</t>
  </si>
  <si>
    <t>Supportive environment: Monitoring insecticide resistance</t>
  </si>
  <si>
    <t>Supportive environment: Coordination and partnership development (national, community, public-private)</t>
  </si>
  <si>
    <t>Supportive environment: other - specify</t>
  </si>
  <si>
    <t>HSS: other - specify</t>
  </si>
  <si>
    <t>Questionnaire</t>
  </si>
  <si>
    <t>Please select disease and Impact/Outcome first</t>
  </si>
  <si>
    <t>Indicator No.</t>
  </si>
  <si>
    <t>Enhanced Financial Reporting (EFR)</t>
  </si>
  <si>
    <t>Required Documentation</t>
  </si>
  <si>
    <t>Comments</t>
  </si>
  <si>
    <t>- used to convert Opening Cash Balance</t>
  </si>
  <si>
    <t>- used to convert Closing Cash Balance</t>
  </si>
  <si>
    <t>LFA Comments</t>
  </si>
  <si>
    <t>Section 2:  Grant Management</t>
  </si>
  <si>
    <t>LFA Analysis of Variance</t>
  </si>
  <si>
    <t>Report Due Date</t>
  </si>
  <si>
    <t>Comments on results on Impact/Outcome indicators and data sources, and any other comments</t>
  </si>
  <si>
    <r>
      <t xml:space="preserve">C. Analysis of data quality and reporting issues
</t>
    </r>
    <r>
      <rPr>
        <b/>
        <sz val="11"/>
        <color indexed="12"/>
        <rFont val="Arial"/>
        <family val="2"/>
      </rPr>
      <t>(!)</t>
    </r>
    <r>
      <rPr>
        <sz val="11"/>
        <color indexed="12"/>
        <rFont val="Arial"/>
        <family val="2"/>
      </rPr>
      <t xml:space="preserve"> </t>
    </r>
    <r>
      <rPr>
        <sz val="11"/>
        <rFont val="Arial"/>
        <family val="2"/>
      </rPr>
      <t>This section should contain (1) a summary of issues related to data quality and reporting on programmatic indicators, and any relevant issues which are not covered in 'Reasons for programmatic deviation', and (2) remedial actions that are underway or planned to address these issues.</t>
    </r>
  </si>
  <si>
    <t>Section 5:  LFA-verified Cash Reconciliation &amp; Disbursement Recommendation</t>
  </si>
  <si>
    <t>Disbursement Request - Disbursement Period:</t>
  </si>
  <si>
    <t>3.  Comment on additional issues related to the procurement and supply management of pharmaceuticals and health products</t>
  </si>
  <si>
    <t>PR's response</t>
  </si>
  <si>
    <t>LFA's response</t>
  </si>
  <si>
    <t>Reporting Currency</t>
  </si>
  <si>
    <t>PQR Product Categories</t>
  </si>
  <si>
    <t xml:space="preserve">DISBURSEMENT REQUEST </t>
  </si>
  <si>
    <t xml:space="preserve">PROGRESS UPDATE </t>
  </si>
  <si>
    <t>Care and support: Care and support for the chronically ill</t>
  </si>
  <si>
    <t>Principal Recipient:</t>
  </si>
  <si>
    <t>Currency:</t>
  </si>
  <si>
    <t>Beginning Date:</t>
  </si>
  <si>
    <t>Value</t>
  </si>
  <si>
    <t>Year</t>
  </si>
  <si>
    <t>Indicator Description</t>
  </si>
  <si>
    <t>Conditions Precedent and/or other special conditions</t>
  </si>
  <si>
    <t>Budget for Reporting Period</t>
  </si>
  <si>
    <t>Variance</t>
  </si>
  <si>
    <t>Reason for Variance</t>
  </si>
  <si>
    <t xml:space="preserve">    1a. PR's total expenditures</t>
  </si>
  <si>
    <t xml:space="preserve">    1b. Disbursements to sub-recipients</t>
  </si>
  <si>
    <t>A: CASH RECONCILIATION FOR PERIOD COVERED BY PROGRESS UPDATE</t>
  </si>
  <si>
    <t>Add:</t>
  </si>
  <si>
    <t>Less:</t>
  </si>
  <si>
    <t>B: DISBURSEMENT REQUEST</t>
  </si>
  <si>
    <t>end date:</t>
  </si>
  <si>
    <t>A: CASH REQUEST</t>
  </si>
  <si>
    <t>Signed on behalf of the Principal Recipient:
(signature of Authorized Designated Representative)</t>
  </si>
  <si>
    <t>Select</t>
  </si>
  <si>
    <t>End Date:</t>
  </si>
  <si>
    <t>Total forecasted net cash expenditures by the Principal Recipient for the period immediately following the period covered</t>
  </si>
  <si>
    <t>Name:</t>
  </si>
  <si>
    <t>Title:</t>
  </si>
  <si>
    <t>Date and Place:</t>
  </si>
  <si>
    <t>Program Start Date:</t>
  </si>
  <si>
    <t>B: AUTHORIZATION</t>
  </si>
  <si>
    <t>Grant Number:</t>
  </si>
  <si>
    <r>
      <t xml:space="preserve">Baseline 
</t>
    </r>
    <r>
      <rPr>
        <sz val="11"/>
        <rFont val="Arial"/>
        <family val="2"/>
      </rPr>
      <t>(if applicable)</t>
    </r>
  </si>
  <si>
    <t>The undersigned acknowledges that: (i) all the information (programmatic, financial, or otherwise) provided in this Progress Update and Disbursement Request is complete and accurate; (ii) funds disbursed in accordance with this request shall be deposited in the bank account specified in block 9 of the face sheet of the Grant Agreement unless otherwise specified herein; and (iii) funds disbursed under the Grant Agreement shall be used in accordance with the Grant Agreement.</t>
  </si>
  <si>
    <t>Owner of Bank Account:</t>
  </si>
  <si>
    <t>Bank SWIFT Code:</t>
  </si>
  <si>
    <t>forecasted amount:</t>
  </si>
  <si>
    <t>Progress Update - Reporting Period:</t>
  </si>
  <si>
    <t>Progress Update - Period Covered:</t>
  </si>
  <si>
    <t>Progress Update - Number:</t>
  </si>
  <si>
    <t>Disbursement Request  - Period Covered:</t>
  </si>
  <si>
    <t>Disbursement Request  - Number:</t>
  </si>
  <si>
    <t>Disbursement Request  - Disbursement Period:</t>
  </si>
  <si>
    <t>Cycle:</t>
  </si>
  <si>
    <t>Number:</t>
  </si>
  <si>
    <t>LFA On-going Progress Review and Disbursement Recommendation</t>
  </si>
  <si>
    <t xml:space="preserve">Impact / Outcome </t>
  </si>
  <si>
    <t>In this section the LFA should indicate, as applicable, what percentage of expenditures was verified at PR level, if any expenditures were verified at SR level, how many site visits were made, what tender documentation was verified, and any other material parts of verification procedures in line with the verification approach agreed upfront between the LFA and GF Secretariat based on country/grant risks.  As a good practice, the verification approach needs to be reviewed jointly by the LFA and the Secretariat annually.</t>
  </si>
  <si>
    <t>B.  Planned Changes in the Program, if any</t>
  </si>
  <si>
    <t>C.  External factors beyond the control of the Principal Recipient that have impacted or may impact the Program</t>
  </si>
  <si>
    <r>
      <t>B.  LFA comments on PR planned changes in the program, if any</t>
    </r>
    <r>
      <rPr>
        <sz val="11"/>
        <color indexed="9"/>
        <rFont val="Arial"/>
        <family val="2"/>
      </rPr>
      <t/>
    </r>
  </si>
  <si>
    <t>C.  LFA Comments on External Factors Beyond Control of the Principal Recipients that have impacted or may impact program</t>
  </si>
  <si>
    <t>A.  PR's Overall Self-Evaluation of Grant Performance (including a summary of how financial performance is linked to programmatic achievements)</t>
  </si>
  <si>
    <t>Prevention: Post-exposure prophylaxis (PEP)</t>
  </si>
  <si>
    <t xml:space="preserve">During the lifetime of a grant, the Global Fund periodically disburses funds to the Principal Recipient (PR) based on demonstrated program performance and financial needs for the following period of implementation. 
The PR’s ongoing progress update and disbursement request (PU/DR) is both a progress report on the latest completed period of program implementation and a request for funds for the following period of implementation. Its purpose is to provide an update of the programmatic and financial progress of a Global Fund-financed grant, as well as an update on fulfillment of conditions precedent, management actions and other requirements. The PU/DR, alongside the Local Fund Agent (LFA) ongoing progress review and disbursement recommendation (short-form: LFA-verified PU/DR), forms the basis for the Global Fund’s disbursement decision by linking historical and expected program performance with the level of financing to be provided to the PR.
One Excel file contains both the PR’s PU/DR and the LFA-verified PU/DR. The PR should only complete the worksheets of the file pertaining to the PU/DR (the worksheet tabs color-coded in green), whereas the LFA should complete the worksheets of the file pertaining to the LFA-verified PU/DR (the worksheet tabs color-coded in blue). The Excel file also includes a reference checklist of supporting documents for the PU/DR review (the worksheet tab color-coded in yellow). This checklist is included for information and not for completion. The PU/DR should be completed by the PR of a Global Fund grant for every period in which a progress update is required, usually either on a quarterly, semiannual or annual basis, regardless of whether or not a disbursement is being requested. Once a year, the PR is expected to submit the Enhanced Financial Report (EFR) as part of the PU/DR (there is a dedicated tab for EFR in the Excel file). 
The PR is required to submit the PU/DR to the LFA within 45 calendar days from the closing date of the relevant progress update period when the report does not contain the EFR (as indicated in the performance framework of Annex A of the grant agreement) and within 60 calendar days when the report contains the EFR (once a year). 
The LFA should complete and submit a signed copy of the LFA-verified PU/DR to the Global Fund within ten working days after receiving the final signed version of the PU/DR from the PR and within 13 working days when the PU/DR report contains the EFR (once a year), unless agreed otherwise with the FPM (The LFA does not need to submit original/hard copies of each PU/DR reports. However, these documents should be available at the LFA’s offices for any audit/reviews. Also, the LFA should be ready at all times to submit these originals to the Secretariat upon request).  In this report the LFA should provide an analysis and comments based on verification of the PR-reported information, document grant risks and recommendations for improving program implementation, and finally, provide a performance rating to the grant and disbursement recommendation for the Global Fund’s consideration.  In defining the performance rating and recommending a disbursement amount, the LFA should use the Grant Rating Methodology of the Global Fund (as described in Annex 2 and communicated at various regional meetings and LFA training events) along with the Excel version of the Grant Rating Tool (to be provided to LFAs) to support the calculation of Indicator Rating.  
</t>
  </si>
  <si>
    <t>! A Statement of Sources and Uses of Funds (SSUF) is to be provided by PR along with the PUDR form</t>
  </si>
  <si>
    <r>
      <rPr>
        <b/>
        <sz val="16"/>
        <color indexed="12"/>
        <rFont val="Arial"/>
        <family val="2"/>
      </rPr>
      <t xml:space="preserve">Annex to PU/DR - LFA-reviewed Sub-recipient financial information </t>
    </r>
    <r>
      <rPr>
        <b/>
        <sz val="14"/>
        <color indexed="12"/>
        <rFont val="Arial"/>
        <family val="2"/>
      </rPr>
      <t xml:space="preserve">
! Completion of this table by the PR and verification by the LFA are </t>
    </r>
    <r>
      <rPr>
        <b/>
        <u/>
        <sz val="14"/>
        <color indexed="12"/>
        <rFont val="Arial"/>
        <family val="2"/>
      </rPr>
      <t>discretionary</t>
    </r>
    <r>
      <rPr>
        <b/>
        <sz val="14"/>
        <color indexed="12"/>
        <rFont val="Arial"/>
        <family val="2"/>
      </rPr>
      <t>, and should be done upon the Secretariat's request.</t>
    </r>
  </si>
  <si>
    <t>Cumulative Actual Expenditure through period covered by this Progress Update</t>
  </si>
  <si>
    <t>NB: The LFA should sign a printed version of the verified PU/DR and send it to the Secretariat as a pdf file by email, or include an electronic signature in the Excel file to be submitted to the Global Fund.</t>
  </si>
  <si>
    <t>Prevention: Behavioral Change Communication - Mass media</t>
  </si>
  <si>
    <t>Prevention: Behavioral Change Communication - community outreach</t>
  </si>
  <si>
    <t xml:space="preserve">Prevention: Counseling and Testing </t>
  </si>
  <si>
    <t>Supportive environment: Program management and administration</t>
  </si>
  <si>
    <t>HSS: Other, specify</t>
  </si>
  <si>
    <t>Prevention:  Behavioral Change Communication - Mass media</t>
  </si>
  <si>
    <t>Prevention:  Behavioral Change Communication - community outreach</t>
  </si>
  <si>
    <t>Other:Specify</t>
  </si>
  <si>
    <t>Bhutan</t>
  </si>
  <si>
    <t>HIV/AIDS</t>
  </si>
  <si>
    <t>BTN-607-G03-H</t>
  </si>
  <si>
    <t xml:space="preserve">Ministry of Health </t>
  </si>
  <si>
    <t>USD</t>
  </si>
  <si>
    <t>Quarter</t>
  </si>
  <si>
    <t>Semester</t>
  </si>
  <si>
    <t>Impact</t>
  </si>
  <si>
    <t>Percentage of uniformed personnel who are  HIV infected</t>
  </si>
  <si>
    <t>Percentage of out of school youths aged 15-24 reporting the consistent use of condoms  with non regular sexual partners in last year</t>
  </si>
  <si>
    <t xml:space="preserve">Percentage of uniformed personnel reporting the consistent use of condoms with non regular sexual partners in the last year </t>
  </si>
  <si>
    <t>0.05%</t>
  </si>
  <si>
    <t>0.20%</t>
  </si>
  <si>
    <t>&lt;0.1%</t>
  </si>
  <si>
    <t>N/A</t>
  </si>
  <si>
    <t>NA</t>
  </si>
  <si>
    <t>Young people reached by life-skill based HIV/AIDS education in schools-grade 7 and above (number and percentage)</t>
  </si>
  <si>
    <t>GF</t>
  </si>
  <si>
    <t>Number of teachers trained on life skill based HIV/AIDS education</t>
  </si>
  <si>
    <t>% of young people 15-24 in school who both correctly identify ways of preventing sexual transmission of HIV and who reject the major misconceptions about HIV transmission (UNGASS)</t>
  </si>
  <si>
    <t xml:space="preserve">People reached by HIV/AIDS education in out-of-school settings  </t>
  </si>
  <si>
    <t>Non Formal Education Instructors trained to provide HIV out-of-school education</t>
  </si>
  <si>
    <t xml:space="preserve">Number of Transport workers reached with HIV education </t>
  </si>
  <si>
    <t>Number of uniformed personnel and their families participating in HIV Awareness workshops</t>
  </si>
  <si>
    <t>Number of monks, nuns and members of non-formal religious groups reached by HIV/AIDS education</t>
  </si>
  <si>
    <t>Number of persons counseled and tested including provision of results</t>
  </si>
  <si>
    <t>GF and other donors</t>
  </si>
  <si>
    <t>Q2 of 2012</t>
  </si>
  <si>
    <t>Y-over program term</t>
  </si>
  <si>
    <t>N-not cumulative</t>
  </si>
  <si>
    <t>Yes - Top 10</t>
  </si>
  <si>
    <t>25 percent (19)</t>
  </si>
  <si>
    <t>Percentage of Men  &amp; Women aged 15-49 who are HIV infected</t>
  </si>
  <si>
    <t>Provide evidence in form and substance satisfactory to the Global Fund that the Principal Recipient has recruited or assigned a Monitoring &amp; Evalaution (M&amp;E) coordinator</t>
  </si>
  <si>
    <t>M&amp;E officer has been recruited at the Project Management Unit to monitor the the GF activties for a duration of 3 years starting April 2010</t>
  </si>
  <si>
    <t xml:space="preserve">Provide evidence in form and substance satisfactory to the Global Fund that the Principal Recipient has standardised formats &amp; guidelines for data collection and reporting through out the country; and </t>
  </si>
  <si>
    <t>PMT has now standardized the reporting format for GF  HIV reporting ans trained all the SR's . There are still more reporting formats which needs to be standardised</t>
  </si>
  <si>
    <t>Provide evidence, in form and substance satisfactory to the Global Fund, the the Principal Recipient has implemented and M&amp;E training and supervision plan for reporting units</t>
  </si>
  <si>
    <t>Partially</t>
  </si>
  <si>
    <t>The disbursement by the GF or use by PR of global funds to finance the procurement of Health products (as defined in Article 19 of the Standard Terms and Condition of this Agreement), is subject to the following conditions:</t>
  </si>
  <si>
    <t>Updated PSM plan has been developed and submitted to GF</t>
  </si>
  <si>
    <t>(a) The Principal Recipient shall submit to the Global Fund a plan for procurement , use &amp; supply management of Health Products for phase 2 of program (Updated PSM Plan) in accordance with Global Fund guidelines for review and approval by the Global Fund. The Updated PSM shall:</t>
  </si>
  <si>
    <t xml:space="preserve">The PSM plan has been submitted to GF </t>
  </si>
  <si>
    <t xml:space="preserve">(i) address the deficiencies identified during the Phase 1 review in consultation with the GF, particularly those deficiencies relating to procurement process, quality assurance systems, storage and distribution as well as inventory mangement; and </t>
  </si>
  <si>
    <t>The dediciencies and gaps identified during the pashe 1 review process are being taken into account especially on the logistics and supply managagement</t>
  </si>
  <si>
    <t xml:space="preserve">(ii) include assumptions on forecasting for ARVs and testing products in order to ensure alignment with the performance framework and work plan and budget, where appropriate; and </t>
  </si>
  <si>
    <t>Appropriate forcasting for the ARV &amp; diagnostic products have been done in close consultation with the Drug procurment division. The forcasting was based on the past consumption of the drugs and test kits from various service delivery points</t>
  </si>
  <si>
    <t xml:space="preserve">(b) The written approval of the Global Fund of the updated PSM plan </t>
  </si>
  <si>
    <t>PSM plan has been submitted since June 2010 and the plan has been approved in March 2011, the delay in approval of PSM plan has casued a major hitch to the implementation rate of project</t>
  </si>
  <si>
    <t>The Principal Recipient acknowledges and agrees that Ministry of Health will be responsible for the implementation of the Program</t>
  </si>
  <si>
    <t xml:space="preserve">MOH has been designated as the new PR after the signing of the phase 2 agreement of the project. </t>
  </si>
  <si>
    <t xml:space="preserve">The Principal Recipient shall maintian, management capacity sufficient for program implementation through the term of Grant, based on the results of periodic assessment of the program by The Global Fund. Such management capacity will ensure adequate staffing including among other things, the position of  (1) program officer, (2) M&amp; E Coordinator, (3) Finance Officer/Accoutant (4) Project Manager </t>
  </si>
  <si>
    <t>The PMU established to faciliate the coordination of GF grant have team comprising of Project Coordinator, M&amp;E officer, 2 finance personel , 1 administrative assiatnt , 1 procurement officer dealing with the procurement of health products  to manage the grants</t>
  </si>
  <si>
    <t>No later than 31 October 2010, the Principal Recipient shall deliver to the Global Fund, in form and substance satisfactory to the Global Fund, a detailed, quarterly budget for years 4 and 5, including detailed break downs per cost categories, Service Delivery Areas and per Sub-recipient, as well as assumptions explaining all lump sums.</t>
  </si>
  <si>
    <t>The detailed quarterly budget for year 4 &amp;5 has been delivered  and been approved by GF</t>
  </si>
  <si>
    <t>Following each procurement of health products the Principal Recipient shall update the informatin for key health products in the Global Fund's on-line Price and Quality Reporting (PQR) database, in accordance with Global Fund guidelines on Price and Quality Reporting.</t>
  </si>
  <si>
    <t>In Progress</t>
  </si>
  <si>
    <t xml:space="preserve">The PQR shall be updated as &amp; when the health products products  &amp; equipments are procured </t>
  </si>
  <si>
    <t xml:space="preserve">The SR supervison plan has been developed and the M&amp;E training has been conducted </t>
  </si>
  <si>
    <t>Submitted to GF</t>
  </si>
  <si>
    <r>
      <t>Number</t>
    </r>
    <r>
      <rPr>
        <sz val="12"/>
        <rFont val="Arial"/>
        <family val="2"/>
      </rPr>
      <t xml:space="preserve"> of people with advanced HIV infection receiving antiretroviral treatment</t>
    </r>
  </si>
  <si>
    <t>National Program</t>
  </si>
  <si>
    <t>Preparation on track</t>
  </si>
  <si>
    <t>Th</t>
  </si>
  <si>
    <t>During the reporting period no procurment of health products were made . However we update the PQR as a mandate by The Global Fund as and when procurment of health products are made</t>
  </si>
  <si>
    <t xml:space="preserve">Ngultrums, Royal Monetary Authrotity of Bhutan </t>
  </si>
  <si>
    <t xml:space="preserve">Ngultrums, Royal Monetary Authrotiy of Bhutan </t>
  </si>
  <si>
    <t>Ngultrum, Royal Monetary Authority of Bhutan</t>
  </si>
  <si>
    <t>There are no risk of stock outs of ARV drugs for the people on treatment as of most up to date stock situation. The DVED responsible for the procurement and forecasting of drugs ensures that there are no stock out of ARV drugs. Through the approved year 3 budget they have procured one consignment of ARV drugs and the stocks are expected to last for atleast 6 months.</t>
  </si>
  <si>
    <t>Due limited staffs in DVED to deal with the procurement of drugs and also with the stringetn rules on drugs procurement of Drug Regulatory Authrity there has been stock out of some of the drugs. But this has not affedted the drugs supply of ARV DRUGS. There is alsoc a need to build the capacity of the staffs in DVED especailly on Global Fund Procurement policies and on the PQR updating.</t>
  </si>
  <si>
    <t xml:space="preserve">balance figure un USD account due to exchange rate fluctuation </t>
  </si>
  <si>
    <t>Department of Youth &amp; Sports, MoE</t>
  </si>
  <si>
    <t>Department of Adult &amp; Higher Learning, MoE</t>
  </si>
  <si>
    <t>Ministry of Labour &amp; Human Resource</t>
  </si>
  <si>
    <t>Bhutan Chamber of Commerce &amp; Industries</t>
  </si>
  <si>
    <t>Armed Forces</t>
  </si>
  <si>
    <t>Dratshang Lhengtshog</t>
  </si>
  <si>
    <t>Royal Institute of Health Sciences</t>
  </si>
  <si>
    <t>Ms. Tandin Lhamo</t>
  </si>
  <si>
    <t xml:space="preserve">No update on the indicators in this reporting quarter </t>
  </si>
  <si>
    <t>As of now 395 teachers were trained as TOT on LSE in the 5 districts of samtse, pemagatsel , sarpang, Gasa &amp;dagana. From  the Q 12  report the actual result was reported as 1110 however upon vvertifcation and validation of reports , the DYS focal person made a mistake in reporting and made a double reporting both the ToT &amp; Cascade training. However after segregation of the reports it is found that the TOT through the Global Fund supports as of now from the 5 districts stand at 395teachers. in the phase 1 they have trained 269 teachers and in the year 3 they have trained 126 teachers which adds up to cumulatively 395 TEACHERS. In the year year they are now planning to train about 220 teachers in the month of january 2012</t>
  </si>
  <si>
    <t xml:space="preserve">The reporting templates have been developed for the SR's to reports on the activties. However, the SR's are not using the templates consistently. The report should be submitted on agreed reporting format. The focal persons from each SR should be trained to report using the new format </t>
  </si>
  <si>
    <t>We noted that the coordination between PMT, NACP &amp; SRs has improved and regular quarterly meeting is taking place. Nevertheless, the SRs continue to underperform and there is delay in submission of preogress reports</t>
  </si>
  <si>
    <t>During the reporting period one indicator “Number of people with advanced HIV infection currently receiving antiretroviral therapy” achieved only 69% of the target. We noted that the program has started using the new criteria for starting treatment as recommended by WI-IO which is to start ART with a CD4 count of 350. We have been informed that the treatment manual has been revised to incorporate this new recommendation and is now ready for printing. Officially the implementation of new treatment criteria has been initiated, but the awareness among the service providers and people living with HIV (PLWHIV) is not optimum. We would like to request NACP to initiate the awareness among the service providers and PLWHIV</t>
  </si>
  <si>
    <t>During the reporting period a high number for achievement has been reported for the indicator ‘Number of most at risk individuals reached with education materials (primarily substance users and sex workers)’. We would like to request your good office to share the information with the Global Fund on the mapping of MARP.</t>
  </si>
  <si>
    <t>The analysis of cumulative variances from Q9 to Q14 shows that there is still a need for strengthening the ñnance management for this grant. There are instances, where expenditure overshoot budget and the NACP is not fully aware of this situation. In case the variances are known, they are not in a position to give proper explanations and justifications. The Global Fund provided training for finance personnel in 2010. We would like to request your good office to look into this and request the PMT for better coordination with finance and program units.</t>
  </si>
  <si>
    <t>Surveillance strategy has not included armed forces personnel as one of the target groups although they are one of the high risk groups. We would like to encourage both NACP and PMT to initiate the discussion of inclusion of armed forces in the surveillance strategy. We would like to request your good  to discuss this issue with armed forces. In addition, the technical partners (WHO, UNAIDS) can be also be consulted.</t>
  </si>
  <si>
    <t>Reporting on most at risk individuals reached with education materials needs to be improved. Data is not segregated according to risk groups. All people who visit the HISC's are reported as most at risk individuals. We would recommend the program to strengthen the reporting system and segregate data accordingly. This would help the program to design an effective implementation</t>
  </si>
  <si>
    <t>Capacity of the PHPM needs to be strengthened. The Program unit (NACP) and the DVED should coordinate on regular basis for procurement. In this case PMT needs to be more proactive for an effective coordination.</t>
  </si>
  <si>
    <t xml:space="preserve">Targets In reference to the indicator ‘Number of teachers trained on life skill based HIV/AIDS education’ have been overachieved. We have been informed that the result was not correctly reported for this indicator. We would like to request NACP to segregate the training data and report with the Progress Update for the Quarter 15. In addition, we would also like to request to review the results for other training related indicators and conñrm the accuracy of the reported result. No disbursement for training will be made until the correct results are submitted. </t>
  </si>
  <si>
    <t>The reporting template have been developed in microsoft access , the SR s were trained on the reporting tool in June 2011 at Paro. However the tool was first piloted and there were feedbacks on the tool. Now with the incorporation of the feed back from the SR , the tool have been re designed to meet the gound requirements. The PMT is planning to once again train the SR's on the usgae of the tools and from Q16, all the SR will report on the new tool. But some time SRS themselves are non complaint but PMT will find measures for them to report on time</t>
  </si>
  <si>
    <t xml:space="preserve">Some of the SR's that underperform include BCCI and army. This is mainly because of the fact that they are not part of government entity and becomes difficult to get them to implement the work plan. We requested the CCM oversight committee to make an intervantion and a comprehensive review and analysis was carried out. The main reason in SR is also due to shortages of HR to implement the activties and due to different financial regulations they reports are incomplete and had to be sent to SRs time and again for complete documenttion and thus in the process the implementation is delayed. GF is their secondary responsibility and thus they give less importance to the implementation </t>
  </si>
  <si>
    <t xml:space="preserve">As of now 395 teachers were trained as TOT on LSE in the 5 districts of samtse, pemagatsel , sarpang, Gasa &amp;dagana. From  the Q 12  report the actual result was reported as 1110 however upon vvertifcation and validation of reports , the DYS focal person made a mistake in reporting and made a double reporting both the ToT &amp; Cascade training. However after segregation of the reports it is found that the TOT through the Global Fund supports as of now from the 5 districts stand at 395teachers. in the phase 1 they have trained 269 teachers and in the year 3 they have trained 126 teachers which adds up to cumulatively 395 TEACHERS. The results have been segregated and only the TOT is being reported for the purpose of reporting to Global Fund. We have also been able to seggregate the indicators reported through donors such as UNFPA who also funded this activity </t>
  </si>
  <si>
    <t>PMT ensures that henceforth there will be enhanced coosrindation between the NACP, PMT &amp; Finance unit through the involvement of the finance personnel during the quarterly PR -SR coordination meeting and keep the finance personnel on the loop</t>
  </si>
  <si>
    <t>Number of Most at Risk individuals reached with  HIV education materials (primary substance users and sex workers)</t>
  </si>
  <si>
    <t xml:space="preserve">The up gradation of new CD4 requirement from 200 to 350 has been discussed with the service providers. Departmental meetings were also held with the service providers including Medical specialists, Gynecologists, pediatricians and pharmacists. Based on the recommendation of the meeting, new guidelines were distributed to all the 20 district hospitals and 3 referral hospitals with office memo to adhere with new CD4 requirement. During the meeting Lhak-Sam was also in picture and PLHIV community is well aware of the new requirement and the frequency of CD4 monitoring. 
</t>
  </si>
  <si>
    <t xml:space="preserve">NACP  has now included the armed forces under the surveillance strategy </t>
  </si>
  <si>
    <t>In all the PR -SR quarterly meeting an effort is made to engage the DVED staffs to attend the meeting, however due to too thinly stretched staffs they have not been able to make to several meetings. Henceforth in the Q15 meeting, PMT will ensure that DVED staffs are attending the regular meetings and if need be set aside other emergency meetings also.</t>
  </si>
  <si>
    <t xml:space="preserve">This indicators is collected through the quarterly VCT reports, where the district health officer compiles the report every quarter and submits to the NACP. If we review the form carefully, there is data segregation on MARPs which include the CSW, MSM &amp; IDU. However in VCT form armed forces and migrant workers have also been recoreded under the MARPs. But when PMT reports to Global Fund we donot include the armed forces and migrant workers, we only compile the traditional MARPs globally defined and accepted. As a measure to review the data from the VCT centers, M&amp;E visit to supervise the quality of data is planned to be jointly carried out by PMT &amp; NACP in the month of January 2012 and we would expect that we get seggregated data on MARP's . Also the HISC maintian a register when they reach out to the MARPs through advocacy </t>
  </si>
  <si>
    <t>NACP has conducted a rapid assessment in the form of mapping of the MARPS such as the CSW and IDU , this report is available and the information on the mapping on the MARPS will be shared with the Global Fund as requested</t>
  </si>
  <si>
    <t xml:space="preserve">The overall performance is satsifactory during the reporting quarter </t>
  </si>
  <si>
    <t>This is not due for reporting and will be reported after the second KAP survey which is scheduled to be done in the fifth (2012) year of the project. The baseline data as per the 2009 KAP survey shows that 47 % of out of school youth aged 15-24 years reported the consistent use of condoms.</t>
  </si>
  <si>
    <t>This is not due for reporting and will be reported after the second KAP survey which will be done in the fifth (2012) and last year of the project. Baseline data from the 2009 KAP survey shows that 53 % of uniformed personnel reported consistent use of condoms with non regular sexual partner.</t>
  </si>
  <si>
    <t xml:space="preserve">As per the PF, sentinel survey is to be conducted on a yearly basis in 2010 (Year 3), 2011 (Year 4) &amp; 2012 (Year 5). However, the PR has not been able to conduct the survey in Year 3 because of lack of funds. A new surveillance strategy (draft titled: STI and HIV/AIDS Surveillance Strategy for Bhutan 2010-2013) has been developed, which outlines the strategy of collecting and managing the data on prevalence and risk behavior of different population groups. The data collected will be comparable with the baseline information of 2007. 
The PR expects to undertake the survey in the next quarter and report on the results. Since funds are available it will not be difficult for the PR to undertake this acitvity and so it is expected that the results will be reported in the beginning of 2012. The current prevalence  is reported as 0.2 % with a range of 0.1-0.3 % in 2009 (Source UNAIDS 2009), however this needs to be confirmed through the next  surveillance report. 
</t>
  </si>
  <si>
    <t>As per the PF, sentinel survey is to be conducted on a yearly basis for 2010, 2011 &amp; 2012. However, the PR has not been able to conduct the survey as per schedule in 2010 because of lack of funds. A new surveillance strategy (draft titled: STI and HIV/AIDS Surveillance Strategy for Bhutan 2010-2013) has been developed which incorporates sero behavior surveillance among drug users, transport workers and sex workers. Surprisingly armed forces personal have not been included in the group although the focus of this impact indicator and the target in the PF is directed towards armed forces. PR has been advised to include armed forces in the strategy.
The PR expects to undertake the survey in the next quarter and report on the results. Since funds are available, it will not be difficult for the PR to undertake this acitvity and it is expected that the results will be reported in the beginning of 2012. The current prevalence is reported as less than 0.1 % (Source UNAIDS, 2009), however this needs to be confirmed through valid reports.</t>
  </si>
  <si>
    <t>PR on site visit</t>
  </si>
  <si>
    <t xml:space="preserve">NA as survey was not done </t>
  </si>
  <si>
    <t>Not due for reporting</t>
  </si>
  <si>
    <r>
      <rPr>
        <b/>
        <sz val="11"/>
        <rFont val="Arial"/>
        <family val="2"/>
      </rPr>
      <t>No target has been set for this indicator. Here results are not due for reporting. Results are not cumulative</t>
    </r>
    <r>
      <rPr>
        <sz val="11"/>
        <rFont val="Arial"/>
        <family val="2"/>
      </rPr>
      <t xml:space="preserve">
The target set is at 60% and the result is due to be reported by quarter ending (Q19) in October 2012, which should result from another KAP survey in 2012.
As per the KAP survey report of 2009, 45 % of young people in schools correctly identified ways of preventing HIV AIDS. This is much lower than that reported for university students and out of school youths (&gt;60 %) however the criteria used in the KAP survey was more stringent (knowledge on all five indicators as used in the survey) and this could be the reason for reporting the low knowledge among school youth. There are 66,212 students studying in classes IX-XII which is an approximate number of young people 15-24 years of age.</t>
    </r>
  </si>
  <si>
    <t>PR On-site Visit</t>
  </si>
  <si>
    <t xml:space="preserve">Not due for reporting  </t>
  </si>
  <si>
    <r>
      <t>C</t>
    </r>
    <r>
      <rPr>
        <b/>
        <sz val="11"/>
        <rFont val="Arial"/>
        <family val="2"/>
      </rPr>
      <t xml:space="preserve">umulative achievement: 105 % Cumulative actual/target 22,846/21,850.  This result shows over-achievement. Results reported over program term. </t>
    </r>
    <r>
      <rPr>
        <sz val="11"/>
        <rFont val="Arial"/>
        <family val="2"/>
      </rPr>
      <t xml:space="preserve">
The PR has undertaken a review of the reported results and accordingly revised the figures for people reached in out of school setting. As pointed out by the LFA, only those people who are not in school and reached by the NFE centers is included. Accordingly it has been found that a total of 17,047 people were reached during phase 1 and a further 4,525 people were reached in year 3. Since most of these people were reached during World AIDS day celebration, the possibility of same people being repeatedly counted is still present, although it will be difficult to verify. The PR has also categorized people reached according to age (15-24 years) which is not in line with the PF. Reaching out to this group of young people is not appropriate because most of the out of school people are likely to be above 25 years of age especially in the NFE setting. Imparting HIV education to all NFE learners will be more appropriate. 
The Ministry of Labour and Human Resources (MoLHR) is the other SR which has reached 1,274 new graduates with HIV awareness in year 3. The total number of people reached in out of school setting is thus 22,846. The targets have been reached. 
The target is underestimated because there is a potentital of reaching more people as specified in the PF such as vocational training institutes and job seekers. The MoLHR should give more effort in reaching out to this group of people in out of school setting.  
</t>
    </r>
    <r>
      <rPr>
        <b/>
        <sz val="11"/>
        <rFont val="Arial"/>
        <family val="2"/>
      </rPr>
      <t>Source of information</t>
    </r>
    <r>
      <rPr>
        <sz val="11"/>
        <rFont val="Arial"/>
        <family val="2"/>
      </rPr>
      <t xml:space="preserve">: Quarterly reports submitted by Non Formal Division, Ministry of Education (SR), Interview with PMT.
</t>
    </r>
  </si>
  <si>
    <r>
      <rPr>
        <b/>
        <sz val="11"/>
        <rFont val="Arial"/>
        <family val="2"/>
      </rPr>
      <t>Cumulative achievement: 92 %. Cumulative actual/target 816/887.  This result shows under-achievement. This is one of the top ten (training) indicators. Results reported over program term.</t>
    </r>
    <r>
      <rPr>
        <sz val="11"/>
        <rFont val="Arial"/>
        <family val="2"/>
      </rPr>
      <t xml:space="preserve">
No new instructors were trained in this quarter and the results are the same as reported for the previous quarters. Although the targets has not been reached, the PR has carried out refresher training for majority of trainers and has also trained 99 principals. The number of existing NFE centers in the country as reported in the previous quarter is currently 894 centers with 913 Instructors (Source of information: Telephonic interview with SR) and not 816 as reported by the PR. It is expected that the SR will train the new NFE instructors in the next quarter. The target is expected to be reached.
</t>
    </r>
    <r>
      <rPr>
        <b/>
        <sz val="11"/>
        <rFont val="Arial"/>
        <family val="2"/>
      </rPr>
      <t>Source of Information</t>
    </r>
    <r>
      <rPr>
        <sz val="11"/>
        <rFont val="Arial"/>
        <family val="2"/>
      </rPr>
      <t xml:space="preserve">: Intervewwith PMT manager, reports submitted by the SR.
</t>
    </r>
  </si>
  <si>
    <r>
      <rPr>
        <b/>
        <sz val="11"/>
        <rFont val="Arial"/>
        <family val="2"/>
      </rPr>
      <t>Cumulative achievement 134%. Cumulative actual/target 1,442/880. This result shows overachievement. Results are reported over program term.</t>
    </r>
    <r>
      <rPr>
        <sz val="11"/>
        <rFont val="Arial"/>
        <family val="2"/>
      </rPr>
      <t xml:space="preserve">
In this quarter no additional transport workers were reached and the results are the same as that reported in Q13. The targets have already been reached for year 4. Transport workers are one of the high risk groups and the success of this activity is expected to reduce the risks among this group. The effectiveness of this program on the transport workers will be seen from the sero-behavior surveillance to be conducted annually in year 4 &amp; 5. There are sudden increases in purchase of trucks and Lorries in Bhutan due to hydro-power constructions which has increased the number of transport workers (drivers and assistant). PR has included all the volunteers to partake in the awareness which has increase the target reached. The target set was based on the 2009 data provided by Road Safety and Transport Authority. However there is not much budget implication as same resource persons were used with larger audiences.
</t>
    </r>
  </si>
  <si>
    <r>
      <rPr>
        <b/>
        <sz val="11"/>
        <rFont val="Arial"/>
        <family val="2"/>
      </rPr>
      <t>Cumulative achievement: 57 %.  Cumulative actual/target 142/250. This result shows underachievement. Results reported are cumulative over program term.</t>
    </r>
    <r>
      <rPr>
        <sz val="11"/>
        <rFont val="Arial"/>
        <family val="2"/>
      </rPr>
      <t xml:space="preserve">
As per the recommendations the PR has finally included only those people who are high risk in reporting the results in this quarter. A total of 22 people (15 commercial sex workers-CSW, 2 intravenous drug users and 5 clients of sex workers) were reached by the health inforamtion centers. The revised total is thus 142 most ar risk population (MARP) reached with HIV education material. 
There is still under reporting because the target group (Drug users and sex workers) remains largely hidden and there is very little information on the actual numbers. Nevertheless the PR should undertake more active measures to reach out to this group using peers and through contact tracing to achieve the targets.
</t>
    </r>
    <r>
      <rPr>
        <b/>
        <sz val="11"/>
        <rFont val="Arial"/>
        <family val="2"/>
      </rPr>
      <t>Source of Information</t>
    </r>
    <r>
      <rPr>
        <sz val="11"/>
        <rFont val="Arial"/>
        <family val="2"/>
      </rPr>
      <t>: Quarterly report submitted by HISC to PMT; Interview with Project Manager PMT.</t>
    </r>
    <r>
      <rPr>
        <sz val="11"/>
        <color indexed="10"/>
        <rFont val="Arial"/>
        <family val="2"/>
      </rPr>
      <t xml:space="preserve"> 
</t>
    </r>
  </si>
  <si>
    <r>
      <rPr>
        <b/>
        <sz val="11"/>
        <rFont val="Arial"/>
        <family val="2"/>
      </rPr>
      <t>Cumulative achievement: 103 % Cumulative actual/target 17,461/17,000.  The target is nearly achieved. This is one of the top ten (training) indicators. Results reported over program term.</t>
    </r>
    <r>
      <rPr>
        <sz val="11"/>
        <rFont val="Arial"/>
        <family val="2"/>
      </rPr>
      <t xml:space="preserve">
In this quarter the Royal Bhutan Army (RBA) has reached 2,516 soldiers and their families in 7 army wings across the country. The awareness campaigns are conducted by personnel from the Army Medical Unit based in Thimphu. As reported during the OSDV, the reporting by the SR is irregular and difficult to verify because of sensitive information. The targets have been reached. The variance is the result of mathematical error as reported in Q 9 (Feb-Apr 2010).  
No reports of awareness campaigns by the Royal Bhutan Police and Royal Body Guards in this quarter. 
</t>
    </r>
    <r>
      <rPr>
        <b/>
        <sz val="11"/>
        <rFont val="Arial"/>
        <family val="2"/>
      </rPr>
      <t>Source of Information:</t>
    </r>
    <r>
      <rPr>
        <sz val="11"/>
        <rFont val="Arial"/>
        <family val="2"/>
      </rPr>
      <t xml:space="preserve"> Report of RBA submitted to the PMT on 25 June 2011; Review of HIV AIDS booklet for Armed forces developed by RBA; Interview with Project Manager PMT.
</t>
    </r>
  </si>
  <si>
    <t>Desk Review</t>
  </si>
  <si>
    <r>
      <rPr>
        <b/>
        <sz val="11"/>
        <rFont val="Arial"/>
        <family val="2"/>
      </rPr>
      <t xml:space="preserve">Cumulative achievement: 83 % Cumulative actual/target 6,434/7,750. This result shows under-achievement. This is one of the top10 equivalent indicators. Results reported over program term.
</t>
    </r>
    <r>
      <rPr>
        <sz val="11"/>
        <rFont val="Arial"/>
        <family val="2"/>
      </rPr>
      <t xml:space="preserve">
In this quarter no religous persons were reached by HIV education and the results remain the same as reported in the previous quarter. This target has been underachieved. The numbers of monks are large and PR should ensure that the SR conducts this activity on time and that targets are reached. The monks play an important role in Bhutanese communities and can be an important person for advocacy and raising awareness. There are also few monks who have been detected as HIV positives and are therefore included as being at risk. The SR for this activity (Dratshang Lhentshog) has not been reporting this activity in a timely manner and there is limited oversight and monitoring by the PR.
</t>
    </r>
    <r>
      <rPr>
        <b/>
        <sz val="11"/>
        <rFont val="Arial"/>
        <family val="2"/>
      </rPr>
      <t>Source of Information:</t>
    </r>
    <r>
      <rPr>
        <sz val="11"/>
        <rFont val="Arial"/>
        <family val="2"/>
      </rPr>
      <t xml:space="preserve"> Quarterly Report of Dratshang Lhentshog submitted to the PMT; Interview with Project Manager PMT.
</t>
    </r>
  </si>
  <si>
    <r>
      <rPr>
        <b/>
        <sz val="11"/>
        <rFont val="Arial"/>
        <family val="2"/>
      </rPr>
      <t xml:space="preserve">Cumulative achievement: 74 % Cumulative actual/target 63/85.This result shows under-achievement. This is a top ten indicator. Results report cumulative over program term. </t>
    </r>
    <r>
      <rPr>
        <sz val="11"/>
        <rFont val="Arial"/>
        <family val="2"/>
      </rPr>
      <t xml:space="preserve">
In this quarter 4 more people were started on ART taking the total to 63. The program has started using the new criteria for starting treatment as recommended by WHO which is to start ART with a CD4 count of 350.  Although this has been officially implemented, people living with HIV (PLWHIV) and service providers are not aware and not many have come to receive treatment. There are only three centers in the country where CD4 count is done and therefore as PLWHIV come for their tests, more number of them is expected to be identified for starting treatment.  The PR has also ordered the procurement of more anti retroviral medications and is ready to provide treatment to the expected higher numbers. With this the target is expected to be achieved.
</t>
    </r>
    <r>
      <rPr>
        <b/>
        <sz val="11"/>
        <rFont val="Arial"/>
        <family val="2"/>
      </rPr>
      <t>Source of information</t>
    </r>
    <r>
      <rPr>
        <sz val="11"/>
        <rFont val="Arial"/>
        <family val="2"/>
      </rPr>
      <t xml:space="preserve">: Quarterly report submitted by Pharmacy department of JDWNRH (Treatment and care unit for PLHIV) to the NACP. Interview with Program Manager NACP.
</t>
    </r>
  </si>
  <si>
    <t>The PR has not undertaken more oversight activites and this is required for better performance by the SR's. As recommended previously the management of the SR's should come under the NACP rather than the PMT. In addition the NACP should be strengthened with M&amp;E person to undertake supervision and oversight of the SR's.</t>
  </si>
  <si>
    <t>Awareness for this new criteria for starting ART has been undertaken and it is excpected that more people will be put on ART in the coming quarters.</t>
  </si>
  <si>
    <t>The PR has chosen to report only on the teachers who attended the Training of Trainers (ToT) on life skills education. This is nor appropriate because the teachers who are trained as trainers are then expected to return to their school and conduct cascade training. The reported results are thus the total number of teachers who are trained in imparting LSE and this is correct. 
However the PR has included  even teachers who teach grade 6 and below in the total and this is not in line with the PF where the target is to reach out to teachers who teach grade 7 and above. Excluding this group of teachers from the total will give more accurate results.</t>
  </si>
  <si>
    <t>The Army has been included in the surveillance strategy</t>
  </si>
  <si>
    <t>PR has started to report correctly on this indicator from this quarter.</t>
  </si>
  <si>
    <r>
      <rPr>
        <b/>
        <sz val="11"/>
        <rFont val="Arial"/>
        <family val="2"/>
      </rPr>
      <t xml:space="preserve">Cumulative achievement: 149 % Cumulative actual/target 42,230/28,400. This result shows over-achievement. This is one of the top ten indicators. Results report cumulative over program term.
</t>
    </r>
    <r>
      <rPr>
        <sz val="11"/>
        <rFont val="Arial"/>
        <family val="2"/>
      </rPr>
      <t xml:space="preserve">
In this quarter, 3,744 people (990 males and 2754 females) were counseled, tested and provided with results. The high number of females is because of testing during pregnancy which is offered to all pregnant women. The target for this activity is over achieved as it is a routine activity carried out at all hospitals including the Health Information Service Centers (HISC) and is routinely reported by all VCT health centers. 
The PR has reported the same figure as last quarter and has not added the new figures as reported by the NACP. The achievement of 149 % as compared to the target. The target has been underestimated  The target was set in 2009 based on the experience of the revious year (2008) and is underestimated. However, there is not much budget implication as the same health workers do it routinely. 
</t>
    </r>
    <r>
      <rPr>
        <b/>
        <sz val="11"/>
        <rFont val="Arial"/>
        <family val="2"/>
      </rPr>
      <t>Source of information</t>
    </r>
    <r>
      <rPr>
        <sz val="11"/>
        <rFont val="Arial"/>
        <family val="2"/>
      </rPr>
      <t xml:space="preserve">: Quarterly VCT report compiled by the NACP, Interview with Program manager NACP.
</t>
    </r>
  </si>
  <si>
    <t>number of people reached in out of school setting must be conducted more activiely by SR</t>
  </si>
  <si>
    <t>Number of monks and nuns reached with HIV awareness must be accelerated</t>
  </si>
  <si>
    <t>Objectives / Service Delivery Areas (SDAs)</t>
  </si>
  <si>
    <t>FMA (Q13)</t>
  </si>
  <si>
    <t>MJJ (Q14)</t>
  </si>
  <si>
    <t>ASO (Q15)</t>
  </si>
  <si>
    <t>Analysis of Cu variance up to Q15 end</t>
  </si>
  <si>
    <t>EXP.</t>
  </si>
  <si>
    <t>Budget</t>
  </si>
  <si>
    <t>Expenditure</t>
  </si>
  <si>
    <t>CU. Budget</t>
  </si>
  <si>
    <t>CU. Exp.</t>
  </si>
  <si>
    <t>Cu. Variance</t>
  </si>
  <si>
    <t>% Variance</t>
  </si>
  <si>
    <t>DYS</t>
  </si>
  <si>
    <t>1.1.1</t>
  </si>
  <si>
    <t>TOT on Life Skill Education in 3 regions (Western, Central,Southern ) - 5 days training program each for region</t>
  </si>
  <si>
    <t>i. PA wirless meeting amplifier to be sent to schools</t>
  </si>
  <si>
    <t>ii. Audio visual materials on HIV/AIDs for Schools</t>
  </si>
  <si>
    <t>iii. TV for schools</t>
  </si>
  <si>
    <t>iv. DVD player for school</t>
  </si>
  <si>
    <t>v. Digital camera for CSHP</t>
  </si>
  <si>
    <t>1.1.2</t>
  </si>
  <si>
    <t>Support to TOT in the implementation of further training of teachers in their communities/districts (5-day training).</t>
  </si>
  <si>
    <t>The variance is immaterial</t>
  </si>
  <si>
    <t>Support to ToT in the implementation of further training of teachers in their communities/districts</t>
  </si>
  <si>
    <t xml:space="preserve">This activity has been deferred to Q16 coinciding with the winter vacation as per the policy of the ministry of education </t>
  </si>
  <si>
    <t>Attend regional GFATM meetings</t>
  </si>
  <si>
    <t>Training of Focal person in Project management</t>
  </si>
  <si>
    <t>1.1.3</t>
  </si>
  <si>
    <t>Purchase of Television &amp; DVD for the schools. - 30 sets required</t>
  </si>
  <si>
    <t>The excess expenditure resulted from implementing Phase I spill over activities in Q9.</t>
  </si>
  <si>
    <t>1.1.4</t>
  </si>
  <si>
    <t>Purchase of sound syetem (Ahuja)</t>
  </si>
  <si>
    <t>1.1.5</t>
  </si>
  <si>
    <t>Purchase of LCD Projector with desktop computer</t>
  </si>
  <si>
    <t>1.1.6</t>
  </si>
  <si>
    <t>Sound proofing of the Auditorium</t>
  </si>
  <si>
    <t>1.1.7</t>
  </si>
  <si>
    <t>Purchase of wall mounted projector scerr 119"</t>
  </si>
  <si>
    <t>1.1.8</t>
  </si>
  <si>
    <t>Purchase of Plasma TV</t>
  </si>
  <si>
    <t>1.1.9</t>
  </si>
  <si>
    <t>1.1.10</t>
  </si>
  <si>
    <t xml:space="preserve">SDA 1.2: Providing life-skills-based HIV/AIDS education </t>
  </si>
  <si>
    <t>1.2.1</t>
  </si>
  <si>
    <t>Development &amp; Printing of educational materials(TLM- teaching learning materials)</t>
  </si>
  <si>
    <t>NFE</t>
  </si>
  <si>
    <t>1.2.2</t>
  </si>
  <si>
    <t>Training of Teachers/Principals</t>
  </si>
  <si>
    <t>1.2.3</t>
  </si>
  <si>
    <t>Training employees of MOLHR</t>
  </si>
  <si>
    <t>Community activities by youth NFE learners</t>
  </si>
  <si>
    <t>1.2.4</t>
  </si>
  <si>
    <t>GFATM meeting not yet attended</t>
  </si>
  <si>
    <t>1.2.5</t>
  </si>
  <si>
    <t>Refresher ToT for Vocational Centre teachers</t>
  </si>
  <si>
    <t>The variance is im-material</t>
  </si>
  <si>
    <t>1.2.6</t>
  </si>
  <si>
    <t>Sensitization of unemployed youths and job seekers during the job fairs and NGOP</t>
  </si>
  <si>
    <t>1.2.7</t>
  </si>
  <si>
    <t>1.2.8</t>
  </si>
  <si>
    <t>M &amp; E</t>
  </si>
  <si>
    <t xml:space="preserve">SDA 1.3: Reaching youth through the private sector </t>
  </si>
  <si>
    <t>1.3.1</t>
  </si>
  <si>
    <t>Sensitization of private sectors in 5 towns</t>
  </si>
  <si>
    <t>BCCI</t>
  </si>
  <si>
    <t>1.3.2</t>
  </si>
  <si>
    <t>Printing of education materials and products</t>
  </si>
  <si>
    <t>Activity is on-going</t>
  </si>
  <si>
    <t>1.3.3</t>
  </si>
  <si>
    <t xml:space="preserve">Ex-country training for the focal person on HIV programming </t>
  </si>
  <si>
    <t>The variance not material</t>
  </si>
  <si>
    <t>1.3.4</t>
  </si>
  <si>
    <t xml:space="preserve">Ex-change of experience among private sectors </t>
  </si>
  <si>
    <t>Quarterly Exchange of experience</t>
  </si>
  <si>
    <t>SDA 1.4: Establishing youth-friendly health services in 30 hospitals</t>
  </si>
  <si>
    <t>1.4.1</t>
  </si>
  <si>
    <t>Training/refresher of staff about youth-issues</t>
  </si>
  <si>
    <t>NACP</t>
  </si>
  <si>
    <t>1.4.2</t>
  </si>
  <si>
    <t>Telephone line charges</t>
  </si>
  <si>
    <t>1.4.3</t>
  </si>
  <si>
    <t>Ex-country training for Youth-hotline staff</t>
  </si>
  <si>
    <t>WHO Guidelines</t>
  </si>
  <si>
    <t>1.4.7</t>
  </si>
  <si>
    <t>Training HIV core Team at JDWNRH</t>
  </si>
  <si>
    <t>SDA 1.5: Intensifying HIV prevention among 10,000 uniformed personnel and their families</t>
  </si>
  <si>
    <t>1.5.1</t>
  </si>
  <si>
    <t>Development and Printing of HIV information package</t>
  </si>
  <si>
    <t>RBG/RBP</t>
  </si>
  <si>
    <t>Excess budget utilized from other printing budget (SDA 1.3.2)</t>
  </si>
  <si>
    <t>1.5.2</t>
  </si>
  <si>
    <t>Capacity building of women  police volunteers</t>
  </si>
  <si>
    <t>1.5.3</t>
  </si>
  <si>
    <t>Sensitization of staff at different levels by RBP</t>
  </si>
  <si>
    <t>Activity is on-going- SR activity</t>
  </si>
  <si>
    <t>1.5.4</t>
  </si>
  <si>
    <t>Sensitization program for RBA &amp; RBG</t>
  </si>
  <si>
    <t>1.5.5</t>
  </si>
  <si>
    <t>Awareness program in prisons</t>
  </si>
  <si>
    <t>1.5.6</t>
  </si>
  <si>
    <t>Training of instructors from the Military training institutes (RBP, RBG, RBA)</t>
  </si>
  <si>
    <t xml:space="preserve">The activity completed but 14% budget overspent due to new training programs included. </t>
  </si>
  <si>
    <t>1.5.7</t>
  </si>
  <si>
    <t>Attend regional GFATM meetings (for focal persons)</t>
  </si>
  <si>
    <t>PR plans to utilize this budget in subsequent qtrs.</t>
  </si>
  <si>
    <t>1.5.8</t>
  </si>
  <si>
    <t>M &amp; E Survey</t>
  </si>
  <si>
    <t>SDA 1.6: Increasing HIV awareness among members of faith-based organizations</t>
  </si>
  <si>
    <t>1.6.1</t>
  </si>
  <si>
    <t>Cascade Training for Shedras/Lobdras/ community religious practitioners</t>
  </si>
  <si>
    <t>DRATSHANG</t>
  </si>
  <si>
    <t>1.6.2</t>
  </si>
  <si>
    <t>Purchase of 1 laptop and 1 projector</t>
  </si>
  <si>
    <t>Attend regional meetings/training program</t>
  </si>
  <si>
    <t>1.6.3</t>
  </si>
  <si>
    <t>Exchange programme</t>
  </si>
  <si>
    <t>1.6.4</t>
  </si>
  <si>
    <t>Annual review meeting</t>
  </si>
  <si>
    <t>SDA 1.7: Providing services for CSWs, IDUs, and MSMs through NGOs</t>
  </si>
  <si>
    <t>1.7.1</t>
  </si>
  <si>
    <t>IDU outreach services through sub grantee community organization</t>
  </si>
  <si>
    <t>1.7.2</t>
  </si>
  <si>
    <t>SW outreach services through sub grantee community</t>
  </si>
  <si>
    <t>SDA 1.8: Expanding prevention packages to the BHU and the community level with CT services to two additional VCT centers, 176 BHUs and 16 army health units</t>
  </si>
  <si>
    <t>1.8.1</t>
  </si>
  <si>
    <t>Rent two VCT centres</t>
  </si>
  <si>
    <t>On-going activity</t>
  </si>
  <si>
    <t>Training refresher training of two Health worker from each facility</t>
  </si>
  <si>
    <t>1.8.2</t>
  </si>
  <si>
    <t>Procurement of computers &amp; printers for the two VCT centers</t>
  </si>
  <si>
    <t>Expenditure exceeded budget du to price escalation.</t>
  </si>
  <si>
    <t>1.8.3</t>
  </si>
  <si>
    <t>Test kits and vacutainers</t>
  </si>
  <si>
    <t>1.8.4</t>
  </si>
  <si>
    <t>Procurement of CD4 reagenst</t>
  </si>
  <si>
    <t>Expenditure exceeded budget due to price escalation.</t>
  </si>
  <si>
    <t>1.8.6</t>
  </si>
  <si>
    <t>Printing of IEC materials on HIV and VCT</t>
  </si>
  <si>
    <t>Purchase of Elisa Readers</t>
  </si>
  <si>
    <t>The excess expenditure resulted from implementing Phase I spill over activities.</t>
  </si>
  <si>
    <t>Refresher training for village health workers</t>
  </si>
  <si>
    <t>The activity is on-going at the time of review</t>
  </si>
  <si>
    <t>Refurbishment of VCT Centres</t>
  </si>
  <si>
    <t>1.8.10</t>
  </si>
  <si>
    <t>Ex-country training of councilors</t>
  </si>
  <si>
    <t>SDA 1.9 IEC activities</t>
  </si>
  <si>
    <t>1.9.1</t>
  </si>
  <si>
    <t>Consultative meeting to develop IEC materials for vulnerable groups</t>
  </si>
  <si>
    <t>The excess expenditure resulted from implementing Phase I spill over activities in Q9, However, the absolute amount is not substantial.</t>
  </si>
  <si>
    <t>1.9.2</t>
  </si>
  <si>
    <t>Field testing of the materials</t>
  </si>
  <si>
    <t>The excess expenditure resulted from implementing Phase I spill over activities in Q9 &amp; Q13</t>
  </si>
  <si>
    <t>1.9.3</t>
  </si>
  <si>
    <t>Printing of materials for vulnerable groups</t>
  </si>
  <si>
    <t>Pending bills to clear at the time of LFA review.</t>
  </si>
  <si>
    <t>1.9.4</t>
  </si>
  <si>
    <t>Sensitization and Breifing to the Media personnel on HIV/AIDS issues</t>
  </si>
  <si>
    <t>1.9.5</t>
  </si>
  <si>
    <t>Undertake supervision and monitoring visits</t>
  </si>
  <si>
    <t>1.9.6</t>
  </si>
  <si>
    <t>SDA 2.1: Strengthening STI/HIV/AIDS pre-service training and continuous education at the Royal Institute of Health Sciences.</t>
  </si>
  <si>
    <t>2.1.1</t>
  </si>
  <si>
    <t>Build up library resources</t>
  </si>
  <si>
    <t>RIHS</t>
  </si>
  <si>
    <t>Budget reappropriated for activity 2.1.4 .</t>
  </si>
  <si>
    <t>2.1.2</t>
  </si>
  <si>
    <t>Faculty development - continuning education for lecturers on STI &amp; HIV/AIDS</t>
  </si>
  <si>
    <t>2.1.3</t>
  </si>
  <si>
    <t>Attend Global Fund meeting</t>
  </si>
  <si>
    <t>2.1.4</t>
  </si>
  <si>
    <t xml:space="preserve">Refurbishment of classrooms  </t>
  </si>
  <si>
    <t>The excess expenditure met from SDA 2.1.1.</t>
  </si>
  <si>
    <t xml:space="preserve">SDA 2.2:  Strengthening national capacity for programme monitoring and evaluation </t>
  </si>
  <si>
    <t>2.2.1</t>
  </si>
  <si>
    <t>Hire M&amp;E consultant in MOH</t>
  </si>
  <si>
    <t>Budget reappropriated for activity 1.9.6.</t>
  </si>
  <si>
    <t>2.2.2</t>
  </si>
  <si>
    <t>Master in epidemiology</t>
  </si>
  <si>
    <t>2.2.3</t>
  </si>
  <si>
    <t>2.2.4</t>
  </si>
  <si>
    <t>Send program staff to international forum for information exchange and attend regional meetings of GFATM</t>
  </si>
  <si>
    <t>2.2.5</t>
  </si>
  <si>
    <t xml:space="preserve">Training one support staff from NACP on data punching, record keeping </t>
  </si>
  <si>
    <t>Variance not material.</t>
  </si>
  <si>
    <t>2.2.6</t>
  </si>
  <si>
    <t>Quarterly meeting of stakeholders</t>
  </si>
  <si>
    <t>2.2.10</t>
  </si>
  <si>
    <t>PCM meeting</t>
  </si>
  <si>
    <t>2.2.13</t>
  </si>
  <si>
    <t>KAP Survey</t>
  </si>
  <si>
    <t>SDA 2.3:  Strengthening the management and technical capacity of the NACP</t>
  </si>
  <si>
    <t>2.3.1</t>
  </si>
  <si>
    <t>Diploma in finance management of HIV/AIDS project</t>
  </si>
  <si>
    <t>PR is required to explain for excess expenditure.</t>
  </si>
  <si>
    <t>2.3.2</t>
  </si>
  <si>
    <t xml:space="preserve">Building a local pool of expertise in key technical areas </t>
  </si>
  <si>
    <t>SDA 2.4:  Building the capacity of non-govermental sectors as partner in the national HIV/AIDS response</t>
  </si>
  <si>
    <t>2.4.1</t>
  </si>
  <si>
    <t>Exchange programme for PLHA</t>
  </si>
  <si>
    <t>2.4.2</t>
  </si>
  <si>
    <t>Training people living with HIVAIDS</t>
  </si>
  <si>
    <t>2.4.4</t>
  </si>
  <si>
    <t>Workshop</t>
  </si>
  <si>
    <t>SDA 3. Ensuring care &amp; treatment</t>
  </si>
  <si>
    <t xml:space="preserve">Procurement of ARVs </t>
  </si>
  <si>
    <t>Complete payments for procurement of ARV is not released at the time of this review.</t>
  </si>
  <si>
    <t>TOTAL PROGRAM COSTS</t>
  </si>
  <si>
    <t>Phase 1 (Q1-8)</t>
  </si>
  <si>
    <t>SR</t>
  </si>
  <si>
    <t>Cumulative budget at end of Q8 (Phase 1)</t>
  </si>
  <si>
    <t>Cumulative expenditure at end of Q8 (Phase 1)</t>
  </si>
  <si>
    <t>Cumulative variance at end of Q8 (Phase 1)</t>
  </si>
  <si>
    <t>Q14 budget implemented in Q15.</t>
  </si>
  <si>
    <t>Budget Implemented in Q14.</t>
  </si>
  <si>
    <t>Implementation of this budget is planned in Q16.</t>
  </si>
  <si>
    <t>This activity is quarterly budget. The excess expenditure is met from Q16 budget provision.</t>
  </si>
  <si>
    <t>Activity is on-going by the SR.</t>
  </si>
  <si>
    <t>The activity was on-going at the time of this review. Only part payment is captured in this review report.</t>
  </si>
  <si>
    <t>Excess expenditure met from the budget provided in the previous quarters (refer cumulative variance analysis in Annexure D).</t>
  </si>
  <si>
    <t>The activity is on-going at the time of this reciew. Only part payment is recorded in this quarter..</t>
  </si>
  <si>
    <t>Long term training budget provided in previous quarters.</t>
  </si>
  <si>
    <t>The activity is on-going at the time of this reciew. Only part payment to the consultant is recorded.</t>
  </si>
  <si>
    <t>Expenditure exceeded budget by 10%. The amount is not materially significant in the opinion of the LFA.</t>
  </si>
  <si>
    <t>Year 5 budget (Q17 &amp; Q18) implemented in Q15.</t>
  </si>
  <si>
    <t>FMA (Q9)</t>
  </si>
  <si>
    <t>MJJ (Q10)</t>
  </si>
  <si>
    <t>BUDGET</t>
  </si>
  <si>
    <t>ASO (Q11)</t>
  </si>
  <si>
    <t>NDJ (Q12)</t>
  </si>
  <si>
    <t>Cash Flow Statement</t>
  </si>
  <si>
    <t>Ex. Rate</t>
  </si>
  <si>
    <t>Opening Balance at DPA</t>
  </si>
  <si>
    <t>Opening Bank MOH</t>
  </si>
  <si>
    <t>Total Inflow - A</t>
  </si>
  <si>
    <t xml:space="preserve">Actual expenditure for the period (PR) </t>
  </si>
  <si>
    <t>Actual expenditure for the period (SR)</t>
  </si>
  <si>
    <t>Total Outflow - B</t>
  </si>
  <si>
    <t>Balance (A-B)</t>
  </si>
  <si>
    <t>Total Fund available at the end of reporting period</t>
  </si>
  <si>
    <t>Details</t>
  </si>
  <si>
    <t>Represented by:</t>
  </si>
  <si>
    <t>ANNEXURE B: SOURCES AND APPLICATION OF FUND (Q15_ASO_2011)</t>
  </si>
  <si>
    <t xml:space="preserve">SDA </t>
  </si>
  <si>
    <t>Phase 2 (Q9-15)</t>
  </si>
  <si>
    <t>Cumulative expenditure for Q9-15</t>
  </si>
  <si>
    <t>Cumulative budget for Q9-15</t>
  </si>
  <si>
    <t>Cumulative variance for Q9-15</t>
  </si>
  <si>
    <t>Cumulative budget at end of Q15</t>
  </si>
  <si>
    <t>Cumulative expenditure  at end of Q15</t>
  </si>
  <si>
    <t>Cumulative varaince at end of Q15</t>
  </si>
  <si>
    <t>Burn rate at Q15 end</t>
  </si>
  <si>
    <t>% Cumulative variance at end of Q15</t>
  </si>
  <si>
    <t>Cumulative for Phase 1+ (Q9-15) Overall variance</t>
  </si>
  <si>
    <t>Analysis of current vairnace (Q15)</t>
  </si>
  <si>
    <t>Annexure D: Analysis of Cumulative Variances by Line Items from Q9-Q15</t>
  </si>
  <si>
    <t>Annexure C: Line item analysis variance for Q15 (ASO_ 2011)</t>
  </si>
  <si>
    <t>% Budget allocation</t>
  </si>
  <si>
    <t>Expenditure Analysis</t>
  </si>
  <si>
    <t>Total Expenditure</t>
  </si>
  <si>
    <t>Back log Activities</t>
  </si>
  <si>
    <t xml:space="preserve">% Budgeted expenditure </t>
  </si>
  <si>
    <t>% Expenditure related  to back log activities</t>
  </si>
  <si>
    <t>% Varianace</t>
  </si>
  <si>
    <t>Current budget fully or partially implemented for Q15</t>
  </si>
  <si>
    <t>Q15 budget not implemented</t>
  </si>
  <si>
    <t>% Q15 budget fully or partially implemented</t>
  </si>
  <si>
    <t>% Q15 budget not implemented</t>
  </si>
  <si>
    <t xml:space="preserve">Analysis of Budget </t>
  </si>
  <si>
    <t>Total Budget for Q15</t>
  </si>
  <si>
    <t>Budgeted Expenditure- Q15</t>
  </si>
  <si>
    <t>Q17 and Q18 budget implemented in Q15</t>
  </si>
  <si>
    <t>% Year 5 budget (Q17 and Q18) implemented in Q15</t>
  </si>
  <si>
    <t>Budget absorption rate in Q15</t>
  </si>
  <si>
    <t>Analysis of Cumulative Variance (Phase I and II)</t>
  </si>
  <si>
    <t>Nu</t>
  </si>
  <si>
    <t>Cash Outflow (Application of Fund)</t>
  </si>
  <si>
    <t>Cash Inflow (Sources of Fund)</t>
  </si>
  <si>
    <t>Bank Balance of PR</t>
  </si>
  <si>
    <t>Unimplemented due to delay in finalization of PSM plan.</t>
  </si>
  <si>
    <t>% Budget allocation at Q15 end</t>
  </si>
  <si>
    <t>The SR, Deaprtment of Youth Services has postponed this activity to be implemented in Q16.</t>
  </si>
  <si>
    <t xml:space="preserve">Procurement of Audio visual equipment has been delayed by DYS SR) in Q14. However, it is now reprogrammed for implementation in Q16. </t>
  </si>
  <si>
    <t>The opening cash balance has been verified with reference to the closing cash balance reported in Q14 PUDR.</t>
  </si>
  <si>
    <t>The expenditures incurred in Q15 has been verified against payment vouchers which are reocrded in PR's cash book and also verified with reference to monthly trial balances prepared by the PR.</t>
  </si>
  <si>
    <t>Local currency is called NGULTRUM, in short Nu. Exchange rate is determined by the Royal Monetary Authority of Bhutan (RMA) on the date when GF disbursement hits RMA account. The RMA transfers an equivalent local currency into the Royal Government Budget Fund Account.</t>
  </si>
  <si>
    <t>Variance is not material.</t>
  </si>
  <si>
    <t>In Q15, the PR paid for procurement of ARVs (SDA 3.1) amounting to USD 15,425.70.</t>
  </si>
  <si>
    <t>The PR did not implement budget in Q15.</t>
  </si>
  <si>
    <t>LFA verification of expenditures reported in Q15 revealed that all expenditures incurred and reported are in line with GFATM approved budget.</t>
  </si>
  <si>
    <t xml:space="preserve">The overall cumulative burn rate achieved at Q15 end is 87% (USD 2,044,349.48) of the corresponding cumulative budget of USD 2,338,275.07 and the cumulative variance is 13% (USD 293,925.59). At Q15 end, the total cumulative budget provided for PR is 46% amounting to USD 1,074,378.00. Out of this, the PR implemented 92% (USD 983,231.99) and 8% (USD 91,146.01) remains unimplemented. The unimplemented budget pertains to Training under SDA 1.7.1 USD 12,117.84, SDA 2.2.2 USD 22,493.01 (Training budget provided for long term study in Epidimeology), and unimplemented procurement related budgets are SDA 1.8.3 USD 11,069.72, SDA 1.8.4 USD 13,735.20, SDA 3.1 USD 11,352.91 and M &amp; E  budget under SDA 2.2.1 amounting to USD 12,160.12 respectively.  
With respect to PR’s financial performance, the cumulative variance of 8% (USD 91,145.87) is not material in the opinion of the LFA. Detailed analysis of cumulative variances is shown in Annexure D.
</t>
  </si>
  <si>
    <t xml:space="preserve">  The cumulative budget allocated for SRs at Q15 end is 54% amounting to USD 1,263,897.07. Out of this, total disbursement amounted to 84% (USD 1,061,117.35) resulting cumulative variance of 13% (USD 202,779.72). Major variances occurred from not releasing training budgets provided for Department of Youth Services under SDA 1.1.1 USD 65,886.38, SDA 1.1.2 USD 27,522.00 and, budget for supply of equipment amounting to USD 21,517.62 is also remains unimplemented. Detailed analysis is of cumulative variances is given in Annexure D.</t>
  </si>
  <si>
    <t xml:space="preserve">Cash balance is correctly reflected as shown in the Cash Flow Statement. The LFA verified this balance with reference to  PR's cash book and the bank reconciliation statement. </t>
  </si>
  <si>
    <t xml:space="preserve">Cash balance is correctly reflected as shown in the Cash Flow Statement. The LFA verified this balance with reference to the PR's cash book and bank reconciliation statement. </t>
  </si>
  <si>
    <t>The PR has not provided any analysis of SR expenditure and also explanations of variances.</t>
  </si>
  <si>
    <t>The balance activities are planned to be implementedin Q16.</t>
  </si>
  <si>
    <t>Q16budget implemented.</t>
  </si>
  <si>
    <t>The activity is planned for implamentation in Q16 &amp; Q17.</t>
  </si>
  <si>
    <t>The activity is planned for implamentation in Q18.</t>
  </si>
  <si>
    <t>PR need to provide reason for excess expenditure</t>
  </si>
  <si>
    <t>UNOPS/LFA-BHUTAN</t>
  </si>
  <si>
    <t>Grant Rating Tool in Excel</t>
  </si>
  <si>
    <r>
      <rPr>
        <b/>
        <u/>
        <sz val="8"/>
        <color indexed="10"/>
        <rFont val="Arial"/>
        <family val="2"/>
      </rPr>
      <t>Important</t>
    </r>
    <r>
      <rPr>
        <b/>
        <sz val="8"/>
        <color indexed="10"/>
        <rFont val="Arial"/>
        <family val="2"/>
      </rPr>
      <t>:</t>
    </r>
    <r>
      <rPr>
        <sz val="8"/>
        <color indexed="10"/>
        <rFont val="Arial"/>
        <family val="2"/>
      </rPr>
      <t xml:space="preserve"> Please start entering the Data in the first row/field "B5"</t>
    </r>
  </si>
  <si>
    <t>Target</t>
  </si>
  <si>
    <t>Result</t>
  </si>
  <si>
    <t>Top 10</t>
  </si>
  <si>
    <t>Training indicator</t>
  </si>
  <si>
    <t>Reverse Indicator?</t>
  </si>
  <si>
    <t>Indicator Number</t>
  </si>
  <si>
    <t>Indicator Name</t>
  </si>
  <si>
    <t>Period</t>
  </si>
  <si>
    <t>R_Period</t>
  </si>
  <si>
    <t>R_Value</t>
  </si>
  <si>
    <t>Result % (*)</t>
  </si>
  <si>
    <t>Q9</t>
  </si>
  <si>
    <t>q9</t>
  </si>
  <si>
    <t>Number of Most at Risk individuals reached with education materials (primary substance users and sex workers)</t>
  </si>
  <si>
    <t>Number and Percentage of people with advanced HIV infection receiving antiretroviral treatment</t>
  </si>
  <si>
    <t xml:space="preserve">
</t>
  </si>
  <si>
    <t xml:space="preserve"> * The % of target reached for individual indicators is capped at 120%  (to avoid over-performing indicators skewing the mean disproportionally )</t>
  </si>
  <si>
    <t>Calculation Table</t>
  </si>
  <si>
    <t>Quantitative Indicator Rating</t>
  </si>
  <si>
    <t>Performance Rating</t>
  </si>
  <si>
    <t>ALL indicators rating</t>
  </si>
  <si>
    <t>&gt; 100%</t>
  </si>
  <si>
    <t>Top 10 Indicators Rating</t>
  </si>
  <si>
    <t>B2</t>
  </si>
  <si>
    <t>100-90%</t>
  </si>
  <si>
    <t>60-89%</t>
  </si>
  <si>
    <t>30-59%</t>
  </si>
  <si>
    <t>&lt;30%</t>
  </si>
  <si>
    <t>Top TEN indicators &amp; Training</t>
  </si>
  <si>
    <t>Training indicators non Top 10</t>
  </si>
  <si>
    <r>
      <t xml:space="preserve">AVG performance on Top 10 </t>
    </r>
    <r>
      <rPr>
        <b/>
        <u/>
        <sz val="8"/>
        <rFont val="Arial"/>
        <family val="2"/>
      </rPr>
      <t>TRAINING</t>
    </r>
    <r>
      <rPr>
        <b/>
        <sz val="8"/>
        <rFont val="Arial"/>
        <family val="2"/>
      </rPr>
      <t xml:space="preserve"> Indicators only</t>
    </r>
  </si>
  <si>
    <t>SUM perf Top ten Not Training</t>
  </si>
  <si>
    <t>COUNT Top ten Not Training</t>
  </si>
  <si>
    <t>AVG performance on TOP TEN indicators (including TRAINING)</t>
  </si>
  <si>
    <r>
      <rPr>
        <b/>
        <u/>
        <sz val="8"/>
        <color indexed="10"/>
        <rFont val="Arial"/>
        <family val="2"/>
      </rPr>
      <t>Important</t>
    </r>
    <r>
      <rPr>
        <sz val="8"/>
        <color indexed="10"/>
        <rFont val="Arial"/>
        <family val="2"/>
      </rPr>
      <t>: The calculated INDICATOR RATING for a grant cannot equal A1 or A2 if one or more “Top 10 Indicator” or “Top 10 equivalent Indicator” is rated B2 or C (i.e., less than 60% achievement). Please fill in the Intermediate Result given by the Matrix in the box below, in order to get the final Quantitative Rating.</t>
    </r>
  </si>
  <si>
    <t>Number of TOP TEN indicators with B2 or C Rating</t>
  </si>
  <si>
    <t>TOP TEN indicators rating</t>
  </si>
  <si>
    <t>Intermediate Quantitative Rating result from the Matrix above</t>
  </si>
  <si>
    <t>AVG performance ALL indicators</t>
  </si>
  <si>
    <t>Final Quantitative Rating</t>
  </si>
  <si>
    <t>Intermediary Result for Quantitative Indicator rating</t>
  </si>
  <si>
    <t>See Rating highlighted in the Matrix</t>
  </si>
  <si>
    <r>
      <rPr>
        <b/>
        <sz val="11"/>
        <rFont val="Arial"/>
        <family val="2"/>
      </rPr>
      <t xml:space="preserve">Cumulative achievment: 58 % Cumulative actual/target 395/679.  This result shows under-achievement.  Results reported over program term.
</t>
    </r>
    <r>
      <rPr>
        <sz val="11"/>
        <rFont val="Arial"/>
        <family val="2"/>
      </rPr>
      <t xml:space="preserve">
There was wrong reporting which was found out during the OSDV. We have requested SR/PR to recalculate the actual results for TOT where as SR had been reporting both TOT and cascade training.  In the approved work plan and budget, there is budget to train (SDA 1.1.1: TOT on LSE) 120 teachers in Year 3, 226 teachers in Year 4, and 132 teachers in Year 5   and also budget to Train (SDA 1.1.2: Support to TOT in the implementation of further training of teachers in their communities/districts) 240 teachers in Year 3, 1529 Teachers in Year 4 and 773 teachers in Year 5. However this support to TOT is not reflected in PF and is not require to report as there is no indicator set for this.  During the PU/DR reporting, SR/PR has combined both results thereby showing very high achievement.  LFA received the corrected information and has cross checked the information and found that only 126 Teachers has been trained for SDA 1.1.1 in Year 3 and no budget has been released for Year 4. Although, SR is supposed (as per approved work plan) to train the teachers in Q13 but SR defer to Q16 which is for winter holidays. This is not to disturb the students during the academic session. This change in achievement should be use for previous quarters (Q12-14).
</t>
    </r>
    <r>
      <rPr>
        <b/>
        <i/>
        <sz val="11"/>
        <rFont val="Arial"/>
        <family val="2"/>
      </rPr>
      <t>Source of information</t>
    </r>
    <r>
      <rPr>
        <sz val="11"/>
        <rFont val="Arial"/>
        <family val="2"/>
      </rPr>
      <t>: Interview with Project Manager of Project Management Team which manages the SR's for HIV program and quarterly report submitted by SR. 
DYS letter number: DYS/CSHD/GFATM/2011/2103 dated 4/3/2011</t>
    </r>
  </si>
  <si>
    <t xml:space="preserve"> M &amp; E Officer  has been recruited  since 2010 and is working  for M &amp; E  of three diseases attached with PMT.</t>
  </si>
  <si>
    <t xml:space="preserve">PR has recruited a National TA to review the M &amp; E System and to revise the existing SR data collection and reporting formats and guidelines. The TA has revised and all SRs were provided hands-on-training on the revised reporting format on 17 June 2011 at Paro. However, the new reporting format and guidelines is not been used by most of SRs to report the quarterly report.   LFA was informed by SRs that the reporting format is too complicated to be used and most of the focal person in SRs is new who has not been trained. PR need to review the guidelines and report format and again conduct a hands-on training immediately. </t>
  </si>
  <si>
    <t>The PR has recruited a National TA to review the M &amp; E training and supervision plan for reporting units including SRs. LFA is yet to receive the report and to see the actual implementation of M &amp; E training and supervision plan for reporting Units. LFA has asked PR to submit the report to LFA and GF.</t>
  </si>
  <si>
    <t xml:space="preserve">Updated PSM plan was submitted to GF and was approved on 2 Feb 2011.                                                                                                                                  </t>
  </si>
  <si>
    <t>This has been done. There were several exchanges of comments and revisions on the Phase 2 PSM Plan. The deficiencies were corrected and based on the revision; GF provided the approval for PSM Plan.</t>
  </si>
  <si>
    <t xml:space="preserve">PR has submitted forecasting for ARVs and testing products while submitting PSM Plan which is aligned with PF, workplan and budget </t>
  </si>
  <si>
    <t xml:space="preserve">The written approval of the GF of the updated PSM Plan was provided on 2 Feb 2011.                                               </t>
  </si>
  <si>
    <t>The PCM members during its 14th PCM meeting endorsed that hereafter the Ministry of Health shall be the PR and are responsible for implementation of the program. The Phase 2 documents were also signed both by GNHC and MoH  to reflect this arrangement</t>
  </si>
  <si>
    <t xml:space="preserve">The required staffs are in place. Currently, Mr Tandin Dorji is the overall Program Manager for TB and HIV program. Mr.  Sonam Wangdi, Program Officer has left for his studies but Mr Namgay Tshering is appointed as the new Program Manager and Mr Leki Khandu as Assistant Program Manager. Mr Ugyen Tshewang is the Finance Officer and Mr Dinash Rai is working as an Accountant. There is one M &amp; E officer (Mr Jigme Thinley) who will be looking after M &amp; E component  of all three diseases. Mr Tandin Dorji, Chief Program Officer of DVED is looking after PSM. </t>
  </si>
  <si>
    <t>PR submitted the detailed quarterly budget for Year 4 and 5 including detailed breakdown per cost categories and summary budget to LFA on 17 October 2010. LFA verified the submission and was submitted to GF on 18 October 2010 and GF approved the Year 4 and 5 budget including detailed breakdown on 22 October 2010.</t>
  </si>
  <si>
    <t xml:space="preserve">PR has issued purchase order for procurement of ARV drugs and expected to receive the drugs by mid-October through Year 3 budget.  Therefore, no health products were received so far and thus there is no update on PQR database. </t>
  </si>
  <si>
    <t>Met</t>
  </si>
  <si>
    <t>PR has revised the reporting template and has assured that the SRs will be retrained. This is expected to be conducted in the next quarter.</t>
  </si>
  <si>
    <t>EFR for Period 1 Feb 2010-Jan 2011 was submitted to GF on 28 April 2011</t>
  </si>
  <si>
    <t>RAA is completed  the auditing and report will be shared with PR. The 1 Feb 2010-31 Jan 2011 audit report was submitted on 26 March 2011.</t>
  </si>
  <si>
    <t>The overall budget absorption rate achieved at Q15 end is 107% (USD 115,743.48) of the total corresponding budget of USD 108,107.00. Out of the total budget, the PR is allocated 86% of the budget amounting to USD 93,272.00. During this quarter, the PR implemented 53% (USD 49,088.00) of the total budget allocated either fully or partially, while 47% (USD 44,184.00) remains unimplemented at Q15 end.  Analysis of unimplemented budget shows that Training budget (SDA 2.4.1) amounting to USD 7,389.00 was not implemented as the PR has postponed the activity for implementation in Q16. Further, procurement budget related to Test Kits Vacationers (SDA 1.8.3) amounting to USD 21,750.00 and budget for CD4 Reagents (SDA 1.8.4) amounting to USD 15,045.00 was not implemented in Q15. Analysis of expenditure reveals that out of the total expenditure of USD 77,400.13, 62% (USD 48,113.69) pertains to the implementation of current budget and another 24% (USD 18,699.23) is related to the implementation of back log activities while 14% (USD 10,578.40) has been incurred in implementation of budgets of Q17 and Q18 respectively.  Detailed analysis of variance is shown in Annexure -C.</t>
  </si>
  <si>
    <t>The SR is allocated 14% (USD 14,835) of the total budget of USD 108,107 in Q15. Out of this, the PR disbursed 57% (USD 8,495.00) while 43% (USD 6,340.00) remains undisbursed at Q15 end. Analysis of disbursement shows that only 19% (USD 7,238.66) is related to Q15 budget while 81% (USD 31,104.69) pertains to the disbursement made related to back log activities. Detailed analysis is shown in Annexure -C.</t>
  </si>
  <si>
    <t>Budget is not utilised in Phase II as the PSM plan was delayed in approving for purchase of Health products and equipments since PR took longer time to address the issues in PSM Plan</t>
  </si>
  <si>
    <t>Budget is not utilised in Phase II as the PSM plan  was delayed in approving for purchase of Health products and equipments since PR took longer time to address the issues in PSM Plan</t>
  </si>
  <si>
    <t>As indicated by PR, the capacity of DVED is weak and there had been delay in procuring most of the drugs but essential drugs such as ARV drugs will not get out-of -stock since they had procured enough. The PSM plan for all three grants was delayed in getting approval from GF due to weak capacity of the DVED. There is need to strengthen the capacity of DVED.</t>
  </si>
  <si>
    <t>Program achievement: The average percentage achievement for the seven top ten indicators is 93% which is A2 rating but two TOP indicators are in B1 (indicator 1.1 is 74 % and indicator 1.9 is 86%). The average for all the indicators is 93 percent which is A2 rating. Out of seven top indicators for this quarter, the achievement for four indicators is above 100 percent and none are below 70 percent. Only two Indicators are in B2 rating.  The final Quantitative rating is B1 (see annexure A). Financial Achievement: The overall budget absorption rate of Q15 end is 107 % (USD 115,743.48) of the corresponding budget of USD 108,107.00. Out of the total budget, the PR is allocated 86% of the budget amounting to USD 93,272.00. PR implemented 53% (USD 49,088.00) of the total budget allocated either fully or partially, while 47% (USD 44,184.00) remains unimplemented at Q15 end.The budget implemented (partially or fully) in Q15 amounts to 60% (USD 147,455) and 40 % (USD 97,117.00) of the Q15 budget remains un-implemented. Analysis of expenditure reveals that out of the total expenditure of USD 77,400.13, 62% (USD 48,113.69) pertains to the implementation of current budget and another 24% (USD 18,699.23) is related to the implementation of back log activities while 14% (USD 10,578.40) has been incurred in implementation of budgets of Q17 and Q18 respectively.  Detailed analysis of variance is shown in Annexure -C.With such a burnt-rate, the financial achievement in this quarter is rated "A1".   Overall Rating: Based on the program and financial performance, LFA provided a rating of "B1" for this quarter.</t>
  </si>
  <si>
    <t>LFA do not see any major plan changes except DYS has reprogram the training of school teachers during the winter holiday (Dec-Jan) so that teachers are not disturbed during the academic session.</t>
  </si>
  <si>
    <t>As indicated in Q14, due to 18 September 2011 earthquake with magnitude of 6.9, there had been major damages to houses, cultural monuments, roads and public infrastructures (Health centers, schools etc) in the country. Thus,  LFA foresees that all public servants will be engaged in rebuilding these infrastructures and may hamper the implementation of the program in certain areas especially in hard-hit districts in western Bhutan.</t>
  </si>
  <si>
    <t>Verified and found to be correct</t>
  </si>
  <si>
    <t>Correct</t>
  </si>
  <si>
    <t>LFA met with Chief Program Officer, PMT, Program Officers of GNHC and NACP and Accountant  and discuss on key findings included in this report.</t>
  </si>
  <si>
    <t xml:space="preserve">All CPs for this disbursement has been met </t>
  </si>
  <si>
    <t>There is no budget forecast in Q15.</t>
  </si>
  <si>
    <t>Yeshey Dorji</t>
  </si>
  <si>
    <t>Team Leader</t>
  </si>
  <si>
    <t>15 Jan 2012, Thimphu-BHUTAN</t>
  </si>
  <si>
    <t>The exchange rates are: First disbursement= 1 USD= BTN 39.25; Second disbursement =1 USD = BTN  47.841; third disbursement 1 USD=  BTN 46.04; Fourth Disbursement 1 USD= BTN 46.74; Fifth disbursement 1 USD=BTN.45.37; sixth disbursement 1 USD =BTN 52.09</t>
  </si>
  <si>
    <t xml:space="preserve">30 December 2011,  Thimphu </t>
  </si>
  <si>
    <t>Program Coordinator , GNHC</t>
  </si>
  <si>
    <r>
      <rPr>
        <b/>
        <sz val="11"/>
        <rFont val="Arial"/>
        <family val="2"/>
      </rPr>
      <t>Cumulative achievement: 74 %. Cumulative actual/target 55,829/75,600.  This result shows under-achievement. This is a top ten indicator. Results reported over program term.</t>
    </r>
    <r>
      <rPr>
        <sz val="11"/>
        <rFont val="Arial"/>
        <family val="2"/>
      </rPr>
      <t xml:space="preserve">
In this quarter, no young people were reached with HIV education and therefore the results are the same as for the previous quarters. The Department of Youth and Sports who is the SR for this activity has not implemented this activity for 3 consecutive quarters. This activity should be implemented routinely in the schools as the teachers guide is already distributed and life skills education is now part of the school curriculum. However with school final examination preparation followed by school holidays mean that this activity is unlikely to take place in the next two quarters.
A new Focal person has been appointed in the school health program, Department of Youth and Sports. With three dedicated staff ,it is expected that the SR will now provide focus and accelerate activities to achieve targets.
</t>
    </r>
    <r>
      <rPr>
        <b/>
        <sz val="11"/>
        <rFont val="Arial"/>
        <family val="2"/>
      </rPr>
      <t xml:space="preserve">Source of information: 
</t>
    </r>
    <r>
      <rPr>
        <sz val="11"/>
        <rFont val="Arial"/>
        <family val="2"/>
      </rPr>
      <t xml:space="preserve">Report by SR (DYS) submitted to PR
</t>
    </r>
    <r>
      <rPr>
        <sz val="11"/>
        <color indexed="10"/>
        <rFont val="Arial"/>
        <family val="2"/>
      </rPr>
      <t xml:space="preserve">
</t>
    </r>
    <r>
      <rPr>
        <sz val="11"/>
        <rFont val="Arial"/>
        <family val="2"/>
      </rPr>
      <t xml:space="preserve">
</t>
    </r>
  </si>
  <si>
    <t>There is no major variances between PR and LFA verified data</t>
  </si>
  <si>
    <t>PR has shared with LFA on the study on Sexual Behaviours and Networks in Thimphu, Bhutan: A Rapid Assessment which is attached with this PU.</t>
  </si>
  <si>
    <t>This issue is being taken care by PR</t>
  </si>
  <si>
    <t>MoH is in process of strengthening DVED as new people are being recruited to run the division</t>
  </si>
  <si>
    <t xml:space="preserve">PR has procured ARV drugs but has not been updated in the PQR and LFA is unable to compare the prices </t>
  </si>
  <si>
    <t>PR has informed that enough drugs has been procured. However, LFA is not in position to verify since PR has not updated the PQR.</t>
  </si>
  <si>
    <t>SR should actively reach out of school people with HIV education especially by the Ministry of Labour and Human Resources. Trainees in the vocational training institutes and job seekers coming to the Ministry seeking employement should be reached and reported.   Time: Q16</t>
  </si>
  <si>
    <t>SR should ensure that this activity is conducted and the targets are reached. Since this activity can be conducted in the monasteries, the PR should ensure that SR carries  out this acitivyt in time and that it is reported in a timely manner.  There must be better oversight by the PR on SR management.  Timeline: Q16</t>
  </si>
  <si>
    <t xml:space="preserve">LFA carried out vouching exercise with random selection of payment vouchers for the month of October 2011. The expenditure incurred in October 2011 amounted to USD 71,277 accounting to 62 percent of the total expenditure in Q15 (USD 115,743.48). The objective of vouching exercise has been to check the accuracy and genuineness of all recorded transactions, check all recorded transactions are properly authorized and supported with bills and money recipts, and all expenditures have been incurred in line with GFATM approved budget line. In opinion of LFA, all expenditures are supported by documentary evidences and are in line with GFATM approved work plan and budget. </t>
  </si>
  <si>
    <t>19,368 students reported to have reached with LSE from various parts of the country, the details submitted is attached along with the PUDR</t>
  </si>
  <si>
    <t>No update on the indicators in this reporting quarter.</t>
  </si>
  <si>
    <t>This value will be determined through the KAP survey which is ecpected to take place by end of 2012</t>
  </si>
  <si>
    <t>As per workplan, there is no activity and hence no updates</t>
  </si>
  <si>
    <t>in this reproting period 179 transport workers were reached with HIV education by the National HIV/AIDS control Program</t>
  </si>
  <si>
    <t xml:space="preserve">During this reporting period, Royal Bhutan Army conducted HIV/AIDS sensitization program at diff military camps and wings but have not yet reported the exact number to the PMT. The numbers reached will in included in the next PUDR. </t>
  </si>
  <si>
    <t>No update. Reports from districts still under compliation process and will be included in the next PUDR</t>
  </si>
  <si>
    <t xml:space="preserve">NACP follows the WHO guidelines for putting people on ARV treatment  which mean CD 4 count of less than 350. During this quarter 8  additonal people put on treatment . With the initiation of  revised WHO guidelines we expect more people to be given ART </t>
  </si>
  <si>
    <t>The latest Audit report dated November 2011 have been submitted to GF</t>
  </si>
  <si>
    <t>submitted with q16 (previous)PUDR</t>
  </si>
  <si>
    <t>Due to the fiscal year closing. The KAP survey planned in this reporting period had to be postponed</t>
  </si>
  <si>
    <t>For this reporting period about USD 40,000 for KAP survey is budgeted under Ministry of Education and Department of Labour which is still unutilized.</t>
  </si>
  <si>
    <t xml:space="preserve">Ninety four thousand and eighty </t>
  </si>
  <si>
    <t xml:space="preserve">The results will be determined through the KAP end line survey. EoI have been called from local Consultancy firms.  </t>
  </si>
  <si>
    <t xml:space="preserve">The results will be determined through the KAP survey </t>
  </si>
  <si>
    <t>As planned sentinel surveillance has been carried out and is undergoing final compilation. The result will be included in the next PUDR</t>
  </si>
  <si>
    <t>as planned sentinel surveillance has been carried out and is undergoing final compilation. The result will be included in the next PUDR</t>
  </si>
  <si>
    <t>During the reporting period the reports from all the VCT centers show that they have reached out to 150 CSW,IDU &amp; client of sex workers and the Program have reached to 39 MARPs in Thimphu and 77 IDUs and CSWs in Phuntsholing</t>
  </si>
  <si>
    <t xml:space="preserve">procured as per plan and prepaid, however some expenditures are not adjusted in the book of accounts till the good is delivered. </t>
  </si>
  <si>
    <t xml:space="preserve">Most the the variance here is from Ministry (Gov) of Education and BCCI (PVT). The Ministry of Education was still carrying out the TOT and Support to TOT during the reporting period and all expenditures are not reflected here. Also Since BCCI have not settled its outstanding balances for the previous year. disburesment have been put on hold untill BCCI settles its accounts. BCCI is in the process of doing so and once its done, activites will be carried out. </t>
  </si>
  <si>
    <t>Kap survery could not be carried out as plan and also some additional saving from various activities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</si>
</sst>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_);_(* \(#,##0.00\);_(* &quot;-&quot;??_);_(@_)"/>
    <numFmt numFmtId="164" formatCode="_ * #,##0.00_ ;_ * \-#,##0.00_ ;_ * &quot;-&quot;??_ ;_ @_ "/>
    <numFmt numFmtId="165" formatCode="_ * #,##0_ ;_ * \-#,##0_ ;_ * &quot;-&quot;??_ ;_ @_ "/>
    <numFmt numFmtId="166" formatCode="[$-409]d\-mmm\-yyyy;@"/>
    <numFmt numFmtId="167" formatCode="#,##0.00;[Red]\(#,##0.00\)"/>
    <numFmt numFmtId="168" formatCode="#,##0.0000_);[Red]\(#,##0.0000\)"/>
    <numFmt numFmtId="169" formatCode="dd/mm/yyyy;@"/>
    <numFmt numFmtId="170" formatCode="[$-409]d\-mmm\-yy;@"/>
    <numFmt numFmtId="171" formatCode="#,##0.0000;[Red]\-#,##0.0000"/>
    <numFmt numFmtId="172" formatCode="mm/dd/yy;@"/>
    <numFmt numFmtId="173" formatCode="#,##0.0000_ ;\-#,##0.0000\ "/>
    <numFmt numFmtId="174" formatCode="#,##0.00_ ;\-#,##0.00\ "/>
    <numFmt numFmtId="175" formatCode="#,##0.0000"/>
    <numFmt numFmtId="176" formatCode="0.0000"/>
    <numFmt numFmtId="177" formatCode="_(* #,##0.00_);_(* \(#,##0.00%\);_(* &quot;-&quot;??_);_(@_)"/>
    <numFmt numFmtId="178" formatCode="#,##0.0_);[Red]\(#,##0.0\)"/>
    <numFmt numFmtId="179" formatCode="#,##0.0"/>
  </numFmts>
  <fonts count="135" x14ac:knownFonts="1">
    <font>
      <sz val="10"/>
      <name val="Arial"/>
    </font>
    <font>
      <sz val="11"/>
      <color indexed="8"/>
      <name val="Calibri"/>
      <family val="2"/>
    </font>
    <font>
      <sz val="10"/>
      <name val="Arial"/>
      <family val="2"/>
    </font>
    <font>
      <sz val="12"/>
      <name val="Times New Roman"/>
      <family val="1"/>
    </font>
    <font>
      <sz val="12"/>
      <name val="Arial"/>
      <family val="2"/>
    </font>
    <font>
      <sz val="10"/>
      <name val="Times New Roman"/>
      <family val="1"/>
    </font>
    <font>
      <b/>
      <sz val="16"/>
      <name val="Arial"/>
      <family val="2"/>
    </font>
    <font>
      <b/>
      <sz val="12"/>
      <color indexed="9"/>
      <name val="Arial"/>
      <family val="2"/>
    </font>
    <font>
      <sz val="10"/>
      <name val="Arial"/>
      <family val="2"/>
    </font>
    <font>
      <b/>
      <sz val="12"/>
      <name val="Arial"/>
      <family val="2"/>
    </font>
    <font>
      <b/>
      <sz val="11"/>
      <color indexed="8"/>
      <name val="Arial"/>
      <family val="2"/>
    </font>
    <font>
      <b/>
      <sz val="11"/>
      <color indexed="9"/>
      <name val="Arial"/>
      <family val="2"/>
    </font>
    <font>
      <sz val="11"/>
      <name val="Arial"/>
      <family val="2"/>
    </font>
    <font>
      <b/>
      <sz val="11"/>
      <name val="Arial"/>
      <family val="2"/>
    </font>
    <font>
      <b/>
      <sz val="12"/>
      <color indexed="8"/>
      <name val="Arial"/>
      <family val="2"/>
    </font>
    <font>
      <sz val="11"/>
      <name val="Arial"/>
      <family val="2"/>
    </font>
    <font>
      <b/>
      <sz val="20"/>
      <name val="Arial"/>
      <family val="2"/>
    </font>
    <font>
      <b/>
      <sz val="14"/>
      <color indexed="9"/>
      <name val="Arial"/>
      <family val="2"/>
    </font>
    <font>
      <sz val="11"/>
      <color indexed="8"/>
      <name val="Arial"/>
      <family val="2"/>
    </font>
    <font>
      <b/>
      <i/>
      <sz val="14"/>
      <name val="Arial"/>
      <family val="2"/>
    </font>
    <font>
      <vertAlign val="superscript"/>
      <sz val="11"/>
      <name val="Arial"/>
      <family val="2"/>
    </font>
    <font>
      <b/>
      <sz val="18"/>
      <name val="Arial"/>
      <family val="2"/>
    </font>
    <font>
      <sz val="18"/>
      <name val="Arial"/>
      <family val="2"/>
    </font>
    <font>
      <b/>
      <sz val="10"/>
      <name val="Arial"/>
      <family val="2"/>
    </font>
    <font>
      <u/>
      <sz val="14"/>
      <name val="Arial"/>
      <family val="2"/>
    </font>
    <font>
      <i/>
      <sz val="11"/>
      <name val="Arial"/>
      <family val="2"/>
    </font>
    <font>
      <b/>
      <sz val="14"/>
      <name val="Arial"/>
      <family val="2"/>
    </font>
    <font>
      <u/>
      <sz val="12"/>
      <name val="Arial"/>
      <family val="2"/>
    </font>
    <font>
      <sz val="14"/>
      <name val="Arial"/>
      <family val="2"/>
    </font>
    <font>
      <sz val="8"/>
      <name val="Arial"/>
      <family val="2"/>
    </font>
    <font>
      <u/>
      <sz val="11"/>
      <name val="Arial"/>
      <family val="2"/>
    </font>
    <font>
      <sz val="10"/>
      <color indexed="22"/>
      <name val="Arial"/>
      <family val="2"/>
    </font>
    <font>
      <sz val="10"/>
      <color indexed="8"/>
      <name val="Arial"/>
      <family val="2"/>
    </font>
    <font>
      <sz val="7"/>
      <name val="Times New Roman"/>
      <family val="1"/>
    </font>
    <font>
      <b/>
      <i/>
      <sz val="11"/>
      <name val="Arial"/>
      <family val="2"/>
    </font>
    <font>
      <sz val="8"/>
      <name val="Arial"/>
      <family val="2"/>
    </font>
    <font>
      <sz val="10"/>
      <name val="Arial"/>
      <family val="2"/>
    </font>
    <font>
      <sz val="8"/>
      <name val="Arial"/>
      <family val="2"/>
    </font>
    <font>
      <i/>
      <sz val="10"/>
      <name val="Arial"/>
      <family val="2"/>
    </font>
    <font>
      <sz val="11"/>
      <color indexed="9"/>
      <name val="Arial"/>
      <family val="2"/>
    </font>
    <font>
      <b/>
      <sz val="11"/>
      <color indexed="9"/>
      <name val="Arial"/>
      <family val="2"/>
    </font>
    <font>
      <b/>
      <sz val="11"/>
      <color indexed="10"/>
      <name val="Arial"/>
      <family val="2"/>
    </font>
    <font>
      <b/>
      <sz val="11"/>
      <color indexed="52"/>
      <name val="Arial"/>
      <family val="2"/>
    </font>
    <font>
      <sz val="10"/>
      <color indexed="10"/>
      <name val="Arial"/>
      <family val="2"/>
    </font>
    <font>
      <b/>
      <sz val="11"/>
      <color indexed="12"/>
      <name val="Arial"/>
      <family val="2"/>
    </font>
    <font>
      <sz val="11"/>
      <color indexed="12"/>
      <name val="Arial"/>
      <family val="2"/>
    </font>
    <font>
      <sz val="10"/>
      <color indexed="9"/>
      <name val="Arial"/>
      <family val="2"/>
    </font>
    <font>
      <b/>
      <sz val="9"/>
      <name val="Arial"/>
      <family val="2"/>
    </font>
    <font>
      <sz val="10"/>
      <color indexed="12"/>
      <name val="Arial"/>
      <family val="2"/>
    </font>
    <font>
      <b/>
      <sz val="10"/>
      <color indexed="12"/>
      <name val="Arial"/>
      <family val="2"/>
    </font>
    <font>
      <b/>
      <sz val="11"/>
      <color indexed="53"/>
      <name val="Arial"/>
      <family val="2"/>
    </font>
    <font>
      <b/>
      <u/>
      <sz val="12"/>
      <color indexed="12"/>
      <name val="Arial"/>
      <family val="2"/>
    </font>
    <font>
      <b/>
      <sz val="12"/>
      <color indexed="12"/>
      <name val="Arial"/>
      <family val="2"/>
    </font>
    <font>
      <sz val="12"/>
      <color indexed="12"/>
      <name val="Arial"/>
      <family val="2"/>
    </font>
    <font>
      <sz val="11"/>
      <color indexed="53"/>
      <name val="Arial"/>
      <family val="2"/>
    </font>
    <font>
      <b/>
      <sz val="12"/>
      <color indexed="8"/>
      <name val="Calibri"/>
      <family val="2"/>
    </font>
    <font>
      <b/>
      <sz val="10"/>
      <color indexed="8"/>
      <name val="Calibri"/>
      <family val="2"/>
    </font>
    <font>
      <b/>
      <u/>
      <sz val="10"/>
      <color indexed="8"/>
      <name val="Calibri"/>
      <family val="2"/>
    </font>
    <font>
      <b/>
      <sz val="10"/>
      <name val="Calibri"/>
      <family val="2"/>
    </font>
    <font>
      <sz val="10"/>
      <color indexed="8"/>
      <name val="Calibri"/>
      <family val="2"/>
    </font>
    <font>
      <b/>
      <sz val="11"/>
      <color indexed="12"/>
      <name val="Calibri"/>
      <family val="2"/>
    </font>
    <font>
      <sz val="8"/>
      <name val="Arial"/>
      <family val="2"/>
    </font>
    <font>
      <b/>
      <u/>
      <sz val="11"/>
      <name val="Arial"/>
      <family val="2"/>
    </font>
    <font>
      <sz val="10"/>
      <name val="Arial"/>
      <family val="2"/>
    </font>
    <font>
      <b/>
      <i/>
      <sz val="10"/>
      <name val="Arial"/>
      <family val="2"/>
    </font>
    <font>
      <b/>
      <i/>
      <sz val="12"/>
      <name val="Arial"/>
      <family val="2"/>
    </font>
    <font>
      <b/>
      <i/>
      <sz val="8"/>
      <name val="Arial"/>
      <family val="2"/>
    </font>
    <font>
      <sz val="12"/>
      <color indexed="8"/>
      <name val="Times"/>
      <family val="1"/>
    </font>
    <font>
      <b/>
      <sz val="8"/>
      <color indexed="81"/>
      <name val="Tahoma"/>
      <family val="2"/>
    </font>
    <font>
      <sz val="8"/>
      <color indexed="81"/>
      <name val="Tahoma"/>
      <family val="2"/>
    </font>
    <font>
      <sz val="10"/>
      <color indexed="10"/>
      <name val="Tahoma"/>
      <family val="2"/>
    </font>
    <font>
      <b/>
      <sz val="14"/>
      <color indexed="12"/>
      <name val="Arial"/>
      <family val="2"/>
    </font>
    <font>
      <sz val="11"/>
      <name val="Arial"/>
      <family val="2"/>
    </font>
    <font>
      <sz val="13"/>
      <name val="Arial"/>
      <family val="2"/>
    </font>
    <font>
      <b/>
      <sz val="13"/>
      <color indexed="12"/>
      <name val="Arial"/>
      <family val="2"/>
    </font>
    <font>
      <sz val="12"/>
      <color indexed="8"/>
      <name val="Arial"/>
      <family val="2"/>
    </font>
    <font>
      <b/>
      <sz val="10"/>
      <name val="Arial"/>
      <family val="2"/>
    </font>
    <font>
      <sz val="11"/>
      <name val="Calibri"/>
      <family val="2"/>
    </font>
    <font>
      <sz val="9"/>
      <color indexed="81"/>
      <name val="Tahoma"/>
      <family val="2"/>
    </font>
    <font>
      <b/>
      <sz val="9"/>
      <color indexed="81"/>
      <name val="Tahoma"/>
      <family val="2"/>
    </font>
    <font>
      <sz val="14"/>
      <color indexed="9"/>
      <name val="Arial"/>
      <family val="2"/>
    </font>
    <font>
      <b/>
      <i/>
      <u/>
      <sz val="10"/>
      <name val="Arial"/>
      <family val="2"/>
    </font>
    <font>
      <sz val="14"/>
      <color indexed="12"/>
      <name val="Arial"/>
      <family val="2"/>
    </font>
    <font>
      <b/>
      <sz val="16"/>
      <color indexed="12"/>
      <name val="Arial"/>
      <family val="2"/>
    </font>
    <font>
      <b/>
      <u/>
      <sz val="14"/>
      <color indexed="12"/>
      <name val="Arial"/>
      <family val="2"/>
    </font>
    <font>
      <b/>
      <sz val="11"/>
      <color indexed="10"/>
      <name val="Arial"/>
      <family val="2"/>
    </font>
    <font>
      <sz val="10"/>
      <color indexed="10"/>
      <name val="Arial"/>
      <family val="2"/>
    </font>
    <font>
      <b/>
      <sz val="11"/>
      <color indexed="8"/>
      <name val="Arial"/>
      <family val="2"/>
    </font>
    <font>
      <b/>
      <sz val="12"/>
      <color indexed="10"/>
      <name val="Arial"/>
      <family val="2"/>
    </font>
    <font>
      <b/>
      <u/>
      <sz val="14"/>
      <color indexed="10"/>
      <name val="Arial"/>
      <family val="2"/>
    </font>
    <font>
      <b/>
      <sz val="12"/>
      <color indexed="10"/>
      <name val="Times New Roman"/>
      <family val="1"/>
    </font>
    <font>
      <b/>
      <sz val="11"/>
      <color indexed="12"/>
      <name val="Arial"/>
      <family val="2"/>
    </font>
    <font>
      <b/>
      <sz val="12"/>
      <color indexed="12"/>
      <name val="Arial"/>
      <family val="2"/>
    </font>
    <font>
      <b/>
      <sz val="14"/>
      <color indexed="12"/>
      <name val="Arial"/>
      <family val="2"/>
    </font>
    <font>
      <b/>
      <sz val="12"/>
      <color indexed="12"/>
      <name val="Arial"/>
      <family val="2"/>
    </font>
    <font>
      <b/>
      <sz val="16"/>
      <color indexed="12"/>
      <name val="Arial"/>
      <family val="2"/>
    </font>
    <font>
      <b/>
      <sz val="14"/>
      <color indexed="12"/>
      <name val="Arial"/>
      <family val="2"/>
    </font>
    <font>
      <sz val="11"/>
      <color indexed="10"/>
      <name val="Arial"/>
      <family val="2"/>
    </font>
    <font>
      <sz val="9"/>
      <color indexed="8"/>
      <name val="Times New Roman"/>
      <family val="1"/>
    </font>
    <font>
      <sz val="9"/>
      <name val="Times New Roman"/>
      <family val="1"/>
    </font>
    <font>
      <b/>
      <sz val="9"/>
      <name val="Times New Roman"/>
      <family val="1"/>
    </font>
    <font>
      <b/>
      <sz val="9"/>
      <color indexed="8"/>
      <name val="Times New Roman"/>
      <family val="1"/>
    </font>
    <font>
      <sz val="10"/>
      <name val="Californian FB"/>
      <family val="1"/>
    </font>
    <font>
      <sz val="9"/>
      <name val="Californian FB"/>
      <family val="1"/>
    </font>
    <font>
      <b/>
      <sz val="9"/>
      <color indexed="10"/>
      <name val="Times New Roman"/>
      <family val="1"/>
    </font>
    <font>
      <b/>
      <sz val="14"/>
      <color indexed="8"/>
      <name val="Times New Roman"/>
      <family val="1"/>
    </font>
    <font>
      <sz val="10"/>
      <color indexed="8"/>
      <name val="MS Sans Serif"/>
      <family val="2"/>
    </font>
    <font>
      <b/>
      <sz val="16"/>
      <color indexed="8"/>
      <name val="Times New Roman"/>
      <family val="1"/>
    </font>
    <font>
      <sz val="8"/>
      <color indexed="8"/>
      <name val="Arial"/>
      <family val="2"/>
    </font>
    <font>
      <b/>
      <sz val="8"/>
      <name val="Arial"/>
      <family val="2"/>
    </font>
    <font>
      <sz val="9"/>
      <name val="Arial"/>
      <family val="2"/>
    </font>
    <font>
      <b/>
      <sz val="10"/>
      <name val="Times New Roman"/>
      <family val="1"/>
    </font>
    <font>
      <i/>
      <sz val="8"/>
      <color indexed="8"/>
      <name val="Arial"/>
      <family val="2"/>
    </font>
    <font>
      <b/>
      <sz val="8"/>
      <color indexed="10"/>
      <name val="Arial"/>
      <family val="2"/>
    </font>
    <font>
      <b/>
      <u/>
      <sz val="8"/>
      <color indexed="10"/>
      <name val="Arial"/>
      <family val="2"/>
    </font>
    <font>
      <sz val="8"/>
      <color indexed="10"/>
      <name val="Arial"/>
      <family val="2"/>
    </font>
    <font>
      <sz val="11"/>
      <name val="Times New Roman"/>
      <family val="1"/>
    </font>
    <font>
      <b/>
      <u/>
      <sz val="8"/>
      <name val="Arial"/>
      <family val="2"/>
    </font>
    <font>
      <b/>
      <sz val="8"/>
      <color indexed="8"/>
      <name val="Arial"/>
      <family val="2"/>
    </font>
    <font>
      <sz val="11"/>
      <color theme="1"/>
      <name val="Calibri"/>
      <family val="2"/>
      <scheme val="minor"/>
    </font>
    <font>
      <sz val="8"/>
      <color theme="1"/>
      <name val="Arial"/>
      <family val="2"/>
    </font>
    <font>
      <sz val="8"/>
      <color theme="4" tint="-0.249977111117893"/>
      <name val="Arial"/>
      <family val="2"/>
    </font>
    <font>
      <b/>
      <i/>
      <u/>
      <sz val="8"/>
      <color theme="4" tint="-0.249977111117893"/>
      <name val="Arial"/>
      <family val="2"/>
    </font>
    <font>
      <sz val="8"/>
      <color theme="0"/>
      <name val="Arial"/>
      <family val="2"/>
    </font>
    <font>
      <b/>
      <sz val="8"/>
      <color theme="1" tint="0.14999847407452621"/>
      <name val="Arial"/>
      <family val="2"/>
    </font>
    <font>
      <sz val="8"/>
      <color theme="3"/>
      <name val="Arial"/>
      <family val="2"/>
    </font>
    <font>
      <sz val="8"/>
      <color theme="1" tint="0.14999847407452621"/>
      <name val="Arial"/>
      <family val="2"/>
    </font>
    <font>
      <i/>
      <u/>
      <sz val="8"/>
      <color rgb="FFFF0000"/>
      <name val="Arial"/>
      <family val="2"/>
    </font>
    <font>
      <b/>
      <u/>
      <sz val="8"/>
      <color theme="3" tint="0.39997558519241921"/>
      <name val="Arial"/>
      <family val="2"/>
    </font>
    <font>
      <b/>
      <sz val="8"/>
      <color theme="0"/>
      <name val="Arial"/>
      <family val="2"/>
    </font>
    <font>
      <b/>
      <sz val="8"/>
      <color theme="0" tint="-0.249977111117893"/>
      <name val="Arial"/>
      <family val="2"/>
    </font>
    <font>
      <sz val="8"/>
      <color rgb="FFFF0000"/>
      <name val="Arial"/>
      <family val="2"/>
    </font>
    <font>
      <b/>
      <sz val="8"/>
      <color theme="1"/>
      <name val="Arial"/>
      <family val="2"/>
    </font>
    <font>
      <sz val="11"/>
      <color rgb="FFFF0000"/>
      <name val="Arial"/>
      <family val="2"/>
    </font>
    <font>
      <b/>
      <sz val="8"/>
      <color rgb="FFFF0000"/>
      <name val="Arial"/>
      <family val="2"/>
    </font>
  </fonts>
  <fills count="31">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indexed="8"/>
        <bgColor indexed="64"/>
      </patternFill>
    </fill>
    <fill>
      <patternFill patternType="solid">
        <fgColor indexed="13"/>
        <bgColor indexed="64"/>
      </patternFill>
    </fill>
    <fill>
      <patternFill patternType="lightTrellis">
        <bgColor indexed="42"/>
      </patternFill>
    </fill>
    <fill>
      <patternFill patternType="lightTrellis">
        <bgColor indexed="9"/>
      </patternFill>
    </fill>
    <fill>
      <patternFill patternType="solid">
        <fgColor indexed="41"/>
        <bgColor indexed="64"/>
      </patternFill>
    </fill>
    <fill>
      <patternFill patternType="solid">
        <fgColor indexed="43"/>
        <bgColor indexed="64"/>
      </patternFill>
    </fill>
    <fill>
      <patternFill patternType="solid">
        <fgColor indexed="9"/>
        <bgColor indexed="9"/>
      </patternFill>
    </fill>
    <fill>
      <patternFill patternType="lightGray">
        <bgColor indexed="9"/>
      </patternFill>
    </fill>
    <fill>
      <patternFill patternType="solid">
        <fgColor indexed="55"/>
        <bgColor indexed="64"/>
      </patternFill>
    </fill>
    <fill>
      <patternFill patternType="solid">
        <fgColor indexed="55"/>
        <bgColor indexed="9"/>
      </patternFill>
    </fill>
    <fill>
      <patternFill patternType="solid">
        <fgColor indexed="50"/>
        <bgColor indexed="64"/>
      </patternFill>
    </fill>
    <fill>
      <patternFill patternType="solid">
        <fgColor indexed="40"/>
        <bgColor indexed="64"/>
      </patternFill>
    </fill>
    <fill>
      <patternFill patternType="solid">
        <fgColor indexed="51"/>
        <bgColor indexed="64"/>
      </patternFill>
    </fill>
    <fill>
      <patternFill patternType="solid">
        <fgColor indexed="10"/>
        <bgColor indexed="64"/>
      </patternFill>
    </fill>
    <fill>
      <patternFill patternType="solid">
        <fgColor indexed="56"/>
        <bgColor indexed="64"/>
      </patternFill>
    </fill>
    <fill>
      <patternFill patternType="solid">
        <fgColor indexed="26"/>
        <bgColor indexed="64"/>
      </patternFill>
    </fill>
    <fill>
      <patternFill patternType="solid">
        <fgColor theme="0"/>
        <bgColor indexed="64"/>
      </patternFill>
    </fill>
    <fill>
      <patternFill patternType="solid">
        <fgColor theme="0"/>
        <bgColor theme="0"/>
      </patternFill>
    </fill>
    <fill>
      <patternFill patternType="solid">
        <fgColor theme="0" tint="-0.249977111117893"/>
        <bgColor theme="0"/>
      </patternFill>
    </fill>
    <fill>
      <patternFill patternType="solid">
        <fgColor theme="1" tint="0.49998474074526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0000"/>
        <bgColor indexed="64"/>
      </patternFill>
    </fill>
  </fills>
  <borders count="22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style="thin">
        <color indexed="64"/>
      </right>
      <top/>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9"/>
      </right>
      <top/>
      <bottom/>
      <diagonal/>
    </border>
    <border>
      <left style="medium">
        <color indexed="64"/>
      </left>
      <right style="thin">
        <color indexed="9"/>
      </right>
      <top style="thin">
        <color indexed="9"/>
      </top>
      <bottom/>
      <diagonal/>
    </border>
    <border>
      <left style="medium">
        <color indexed="64"/>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style="thin">
        <color indexed="9"/>
      </top>
      <bottom style="thin">
        <color indexed="9"/>
      </bottom>
      <diagonal/>
    </border>
    <border>
      <left/>
      <right/>
      <top style="thin">
        <color indexed="9"/>
      </top>
      <bottom/>
      <diagonal/>
    </border>
    <border>
      <left/>
      <right style="thin">
        <color indexed="9"/>
      </right>
      <top style="medium">
        <color indexed="64"/>
      </top>
      <bottom style="thin">
        <color indexed="9"/>
      </bottom>
      <diagonal/>
    </border>
    <border>
      <left style="thin">
        <color indexed="9"/>
      </left>
      <right style="thin">
        <color indexed="9"/>
      </right>
      <top style="medium">
        <color indexed="64"/>
      </top>
      <bottom/>
      <diagonal/>
    </border>
    <border>
      <left/>
      <right/>
      <top style="thin">
        <color indexed="9"/>
      </top>
      <bottom style="thin">
        <color indexed="9"/>
      </bottom>
      <diagonal/>
    </border>
    <border>
      <left style="thin">
        <color indexed="9"/>
      </left>
      <right/>
      <top style="medium">
        <color indexed="64"/>
      </top>
      <bottom style="thin">
        <color indexed="9"/>
      </bottom>
      <diagonal/>
    </border>
    <border>
      <left style="thin">
        <color indexed="9"/>
      </left>
      <right style="thin">
        <color indexed="9"/>
      </right>
      <top style="medium">
        <color indexed="64"/>
      </top>
      <bottom style="thin">
        <color indexed="9"/>
      </bottom>
      <diagonal/>
    </border>
    <border>
      <left style="thin">
        <color indexed="9"/>
      </left>
      <right/>
      <top/>
      <bottom style="thin">
        <color indexed="9"/>
      </bottom>
      <diagonal/>
    </border>
    <border>
      <left/>
      <right/>
      <top style="thin">
        <color indexed="9"/>
      </top>
      <bottom style="medium">
        <color indexed="64"/>
      </bottom>
      <diagonal/>
    </border>
    <border>
      <left style="thin">
        <color indexed="9"/>
      </left>
      <right/>
      <top style="thin">
        <color indexed="9"/>
      </top>
      <bottom style="medium">
        <color indexed="64"/>
      </bottom>
      <diagonal/>
    </border>
    <border>
      <left style="thin">
        <color indexed="9"/>
      </left>
      <right style="medium">
        <color indexed="64"/>
      </right>
      <top style="thin">
        <color indexed="9"/>
      </top>
      <bottom style="medium">
        <color indexed="64"/>
      </bottom>
      <diagonal/>
    </border>
    <border>
      <left style="thin">
        <color indexed="9"/>
      </left>
      <right style="thin">
        <color indexed="9"/>
      </right>
      <top/>
      <bottom style="thin">
        <color indexed="9"/>
      </bottom>
      <diagonal/>
    </border>
    <border>
      <left style="thin">
        <color indexed="9"/>
      </left>
      <right style="thin">
        <color indexed="9"/>
      </right>
      <top/>
      <bottom/>
      <diagonal/>
    </border>
    <border>
      <left style="thin">
        <color indexed="9"/>
      </left>
      <right/>
      <top style="thin">
        <color indexed="9"/>
      </top>
      <bottom/>
      <diagonal/>
    </border>
    <border>
      <left/>
      <right style="thin">
        <color indexed="9"/>
      </right>
      <top style="thin">
        <color indexed="9"/>
      </top>
      <bottom style="thin">
        <color indexed="9"/>
      </bottom>
      <diagonal/>
    </border>
    <border>
      <left/>
      <right/>
      <top style="medium">
        <color indexed="64"/>
      </top>
      <bottom/>
      <diagonal/>
    </border>
    <border>
      <left/>
      <right/>
      <top style="medium">
        <color indexed="64"/>
      </top>
      <bottom style="thin">
        <color indexed="9"/>
      </bottom>
      <diagonal/>
    </border>
    <border>
      <left/>
      <right style="thin">
        <color indexed="9"/>
      </right>
      <top style="thin">
        <color indexed="9"/>
      </top>
      <bottom/>
      <diagonal/>
    </border>
    <border>
      <left style="thin">
        <color indexed="9"/>
      </left>
      <right style="thin">
        <color indexed="9"/>
      </right>
      <top style="thin">
        <color indexed="64"/>
      </top>
      <bottom style="thin">
        <color indexed="9"/>
      </bottom>
      <diagonal/>
    </border>
    <border>
      <left/>
      <right/>
      <top/>
      <bottom style="thin">
        <color indexed="9"/>
      </bottom>
      <diagonal/>
    </border>
    <border>
      <left/>
      <right/>
      <top/>
      <bottom style="thin">
        <color indexed="64"/>
      </bottom>
      <diagonal/>
    </border>
    <border>
      <left style="thin">
        <color indexed="9"/>
      </left>
      <right/>
      <top/>
      <bottom style="thin">
        <color indexed="64"/>
      </bottom>
      <diagonal/>
    </border>
    <border>
      <left style="thin">
        <color indexed="9"/>
      </left>
      <right style="thin">
        <color indexed="9"/>
      </right>
      <top style="thin">
        <color indexed="9"/>
      </top>
      <bottom style="medium">
        <color indexed="64"/>
      </bottom>
      <diagonal/>
    </border>
    <border>
      <left style="thin">
        <color indexed="9"/>
      </left>
      <right/>
      <top style="thin">
        <color indexed="64"/>
      </top>
      <bottom style="thin">
        <color indexed="9"/>
      </bottom>
      <diagonal/>
    </border>
    <border>
      <left style="thin">
        <color indexed="9"/>
      </left>
      <right/>
      <top style="double">
        <color indexed="64"/>
      </top>
      <bottom/>
      <diagonal/>
    </border>
    <border>
      <left/>
      <right/>
      <top style="thin">
        <color indexed="64"/>
      </top>
      <bottom style="thin">
        <color indexed="9"/>
      </bottom>
      <diagonal/>
    </border>
    <border>
      <left/>
      <right style="thin">
        <color indexed="9"/>
      </right>
      <top style="thin">
        <color indexed="64"/>
      </top>
      <bottom/>
      <diagonal/>
    </border>
    <border>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64"/>
      </left>
      <right style="thin">
        <color indexed="9"/>
      </right>
      <top style="thin">
        <color indexed="9"/>
      </top>
      <bottom style="thin">
        <color indexed="9"/>
      </bottom>
      <diagonal/>
    </border>
    <border>
      <left style="thin">
        <color indexed="9"/>
      </left>
      <right style="thin">
        <color indexed="64"/>
      </right>
      <top style="thin">
        <color indexed="9"/>
      </top>
      <bottom style="thin">
        <color indexed="9"/>
      </bottom>
      <diagonal/>
    </border>
    <border>
      <left/>
      <right style="thin">
        <color indexed="9"/>
      </right>
      <top/>
      <bottom style="thin">
        <color indexed="9"/>
      </bottom>
      <diagonal/>
    </border>
    <border>
      <left style="medium">
        <color indexed="64"/>
      </left>
      <right/>
      <top style="thin">
        <color indexed="9"/>
      </top>
      <bottom style="thin">
        <color indexed="9"/>
      </bottom>
      <diagonal/>
    </border>
    <border>
      <left style="medium">
        <color indexed="64"/>
      </left>
      <right/>
      <top style="thin">
        <color indexed="9"/>
      </top>
      <bottom/>
      <diagonal/>
    </border>
    <border>
      <left/>
      <right style="thin">
        <color indexed="9"/>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9"/>
      </left>
      <right/>
      <top style="thin">
        <color indexed="64"/>
      </top>
      <bottom/>
      <diagonal/>
    </border>
    <border>
      <left style="thin">
        <color indexed="9"/>
      </left>
      <right style="thin">
        <color indexed="9"/>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double">
        <color indexed="64"/>
      </bottom>
      <diagonal/>
    </border>
    <border>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style="thin">
        <color indexed="9"/>
      </left>
      <right/>
      <top style="medium">
        <color indexed="64"/>
      </top>
      <bottom style="thin">
        <color indexed="64"/>
      </bottom>
      <diagonal/>
    </border>
    <border>
      <left style="thin">
        <color indexed="9"/>
      </left>
      <right style="thin">
        <color indexed="9"/>
      </right>
      <top style="medium">
        <color indexed="64"/>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9"/>
      </left>
      <right/>
      <top/>
      <bottom/>
      <diagonal/>
    </border>
    <border>
      <left style="medium">
        <color indexed="64"/>
      </left>
      <right/>
      <top style="thin">
        <color indexed="64"/>
      </top>
      <bottom/>
      <diagonal/>
    </border>
    <border>
      <left/>
      <right style="thin">
        <color indexed="9"/>
      </right>
      <top/>
      <bottom style="thin">
        <color indexed="64"/>
      </bottom>
      <diagonal/>
    </border>
    <border>
      <left style="thin">
        <color indexed="9"/>
      </left>
      <right style="thin">
        <color indexed="9"/>
      </right>
      <top/>
      <bottom style="thin">
        <color indexed="64"/>
      </bottom>
      <diagonal/>
    </border>
    <border>
      <left/>
      <right/>
      <top style="medium">
        <color indexed="64"/>
      </top>
      <bottom style="medium">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9"/>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style="medium">
        <color indexed="64"/>
      </right>
      <top/>
      <bottom/>
      <diagonal/>
    </border>
    <border>
      <left style="thin">
        <color indexed="9"/>
      </left>
      <right style="medium">
        <color indexed="64"/>
      </right>
      <top style="thin">
        <color indexed="9"/>
      </top>
      <bottom style="thin">
        <color indexed="9"/>
      </bottom>
      <diagonal/>
    </border>
    <border>
      <left style="thin">
        <color indexed="9"/>
      </left>
      <right style="thin">
        <color indexed="9"/>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right/>
      <top style="medium">
        <color indexed="64"/>
      </top>
      <bottom style="hair">
        <color indexed="64"/>
      </bottom>
      <diagonal/>
    </border>
    <border>
      <left style="thick">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ck">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top style="hair">
        <color indexed="64"/>
      </top>
      <bottom style="medium">
        <color indexed="64"/>
      </bottom>
      <diagonal/>
    </border>
    <border>
      <left style="thick">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style="thick">
        <color indexed="64"/>
      </left>
      <right/>
      <top style="hair">
        <color indexed="64"/>
      </top>
      <bottom style="hair">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9"/>
      </left>
      <right/>
      <top style="thin">
        <color indexed="9"/>
      </top>
      <bottom style="double">
        <color indexed="64"/>
      </bottom>
      <diagonal/>
    </border>
    <border>
      <left/>
      <right style="thin">
        <color indexed="64"/>
      </right>
      <top style="thin">
        <color indexed="64"/>
      </top>
      <bottom style="medium">
        <color indexed="64"/>
      </bottom>
      <diagonal/>
    </border>
    <border>
      <left style="thin">
        <color indexed="9"/>
      </left>
      <right style="medium">
        <color indexed="64"/>
      </right>
      <top style="thin">
        <color indexed="9"/>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hair">
        <color indexed="64"/>
      </left>
      <right style="hair">
        <color indexed="64"/>
      </right>
      <top style="medium">
        <color indexed="64"/>
      </top>
      <bottom style="dotted">
        <color indexed="64"/>
      </bottom>
      <diagonal/>
    </border>
    <border>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hair">
        <color indexed="64"/>
      </left>
      <right style="hair">
        <color indexed="64"/>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hair">
        <color indexed="64"/>
      </left>
      <right style="hair">
        <color indexed="64"/>
      </right>
      <top style="dotted">
        <color indexed="64"/>
      </top>
      <bottom style="medium">
        <color indexed="64"/>
      </bottom>
      <diagonal/>
    </border>
    <border>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bottom/>
      <diagonal/>
    </border>
    <border>
      <left style="double">
        <color indexed="64"/>
      </left>
      <right style="thin">
        <color indexed="64"/>
      </right>
      <top/>
      <bottom/>
      <diagonal/>
    </border>
    <border>
      <left style="double">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bottom style="thin">
        <color indexed="9"/>
      </bottom>
      <diagonal/>
    </border>
    <border>
      <left style="thin">
        <color indexed="64"/>
      </left>
      <right style="medium">
        <color indexed="64"/>
      </right>
      <top/>
      <bottom style="medium">
        <color indexed="64"/>
      </bottom>
      <diagonal/>
    </border>
    <border>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9"/>
      </right>
      <top style="medium">
        <color indexed="64"/>
      </top>
      <bottom style="thin">
        <color indexed="9"/>
      </bottom>
      <diagonal/>
    </border>
    <border>
      <left style="thin">
        <color indexed="9"/>
      </left>
      <right style="medium">
        <color indexed="64"/>
      </right>
      <top style="medium">
        <color indexed="64"/>
      </top>
      <bottom style="thin">
        <color indexed="9"/>
      </bottom>
      <diagonal/>
    </border>
    <border>
      <left/>
      <right style="medium">
        <color indexed="64"/>
      </right>
      <top style="thin">
        <color indexed="9"/>
      </top>
      <bottom/>
      <diagonal/>
    </border>
    <border>
      <left style="medium">
        <color indexed="64"/>
      </left>
      <right/>
      <top style="medium">
        <color indexed="64"/>
      </top>
      <bottom style="thin">
        <color indexed="9"/>
      </bottom>
      <diagonal/>
    </border>
    <border>
      <left/>
      <right style="medium">
        <color indexed="64"/>
      </right>
      <top style="medium">
        <color indexed="64"/>
      </top>
      <bottom style="thin">
        <color indexed="9"/>
      </bottom>
      <diagonal/>
    </border>
    <border>
      <left style="thin">
        <color theme="0"/>
      </left>
      <right/>
      <top/>
      <bottom style="thick">
        <color theme="0"/>
      </bottom>
      <diagonal/>
    </border>
    <border>
      <left/>
      <right/>
      <top/>
      <bottom style="thick">
        <color theme="0"/>
      </bottom>
      <diagonal/>
    </border>
  </borders>
  <cellStyleXfs count="22">
    <xf numFmtId="0" fontId="0" fillId="0" borderId="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4" fontId="63"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106" fillId="0" borderId="0" applyNumberFormat="0" applyFont="0" applyFill="0" applyBorder="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9" fillId="0" borderId="0"/>
    <xf numFmtId="0" fontId="2" fillId="0" borderId="0"/>
    <xf numFmtId="0" fontId="106" fillId="0" borderId="0"/>
    <xf numFmtId="0" fontId="2" fillId="0" borderId="0"/>
    <xf numFmtId="0" fontId="2" fillId="0" borderId="0"/>
    <xf numFmtId="9" fontId="36" fillId="0" borderId="0" applyFont="0" applyFill="0" applyBorder="0" applyAlignment="0" applyProtection="0"/>
    <xf numFmtId="9" fontId="2" fillId="0" borderId="0" applyFont="0" applyFill="0" applyBorder="0" applyAlignment="0" applyProtection="0"/>
    <xf numFmtId="9" fontId="119" fillId="0" borderId="0" applyFont="0" applyFill="0" applyBorder="0" applyAlignment="0" applyProtection="0"/>
  </cellStyleXfs>
  <cellXfs count="2770">
    <xf numFmtId="0" fontId="0" fillId="0" borderId="0" xfId="0"/>
    <xf numFmtId="0" fontId="22" fillId="0" borderId="0" xfId="0" applyFont="1" applyBorder="1" applyProtection="1"/>
    <xf numFmtId="0" fontId="0" fillId="0" borderId="0" xfId="0" applyBorder="1" applyProtection="1"/>
    <xf numFmtId="0" fontId="0" fillId="0" borderId="0" xfId="0" applyProtection="1"/>
    <xf numFmtId="0" fontId="15" fillId="0" borderId="0" xfId="0" applyFont="1" applyAlignment="1" applyProtection="1">
      <alignment vertical="center"/>
    </xf>
    <xf numFmtId="0" fontId="11" fillId="2" borderId="1" xfId="0" applyFont="1" applyFill="1" applyBorder="1" applyAlignment="1" applyProtection="1">
      <alignment horizontal="left" vertical="center"/>
    </xf>
    <xf numFmtId="0" fontId="4" fillId="0" borderId="0" xfId="0" applyFont="1" applyBorder="1" applyProtection="1"/>
    <xf numFmtId="0" fontId="4" fillId="0" borderId="0" xfId="0" applyFont="1" applyFill="1" applyBorder="1" applyProtection="1"/>
    <xf numFmtId="165" fontId="4" fillId="0" borderId="0" xfId="1" applyNumberFormat="1" applyFont="1" applyBorder="1" applyProtection="1"/>
    <xf numFmtId="0" fontId="6" fillId="0" borderId="0" xfId="0" applyFont="1" applyBorder="1" applyAlignment="1" applyProtection="1">
      <alignment vertical="center"/>
    </xf>
    <xf numFmtId="0" fontId="4" fillId="0" borderId="0" xfId="0" applyFont="1" applyBorder="1" applyAlignment="1" applyProtection="1">
      <alignment vertical="center"/>
    </xf>
    <xf numFmtId="165" fontId="4" fillId="0" borderId="0" xfId="1" applyNumberFormat="1" applyFont="1" applyBorder="1" applyAlignment="1" applyProtection="1">
      <alignment vertical="center"/>
    </xf>
    <xf numFmtId="0" fontId="0" fillId="0" borderId="0" xfId="0" applyBorder="1" applyAlignment="1" applyProtection="1">
      <alignment vertical="center"/>
    </xf>
    <xf numFmtId="0" fontId="0" fillId="0" borderId="0" xfId="0" applyAlignment="1" applyProtection="1">
      <alignment vertical="center"/>
    </xf>
    <xf numFmtId="0" fontId="0" fillId="3" borderId="0" xfId="0" applyFill="1" applyBorder="1" applyAlignment="1" applyProtection="1">
      <alignment vertical="center"/>
    </xf>
    <xf numFmtId="0" fontId="15" fillId="0" borderId="0" xfId="0" applyFont="1" applyProtection="1"/>
    <xf numFmtId="165" fontId="2" fillId="0" borderId="0" xfId="1" applyNumberFormat="1" applyProtection="1"/>
    <xf numFmtId="0" fontId="8" fillId="0" borderId="0" xfId="0" applyFont="1" applyFill="1" applyProtection="1"/>
    <xf numFmtId="0" fontId="11" fillId="0" borderId="0" xfId="0" applyFont="1" applyFill="1" applyBorder="1" applyAlignment="1" applyProtection="1">
      <alignment horizontal="center"/>
    </xf>
    <xf numFmtId="0" fontId="10" fillId="0" borderId="0" xfId="0" applyFont="1" applyFill="1" applyBorder="1" applyAlignment="1" applyProtection="1"/>
    <xf numFmtId="0" fontId="8" fillId="0" borderId="0" xfId="0" applyFont="1" applyProtection="1"/>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xf>
    <xf numFmtId="0" fontId="8" fillId="0" borderId="0" xfId="0" applyFont="1" applyAlignment="1" applyProtection="1"/>
    <xf numFmtId="0" fontId="15" fillId="0" borderId="0" xfId="0" applyFont="1" applyFill="1" applyBorder="1" applyAlignment="1" applyProtection="1">
      <alignment horizontal="left" indent="1"/>
    </xf>
    <xf numFmtId="0" fontId="15" fillId="0" borderId="0" xfId="0" applyFont="1" applyAlignment="1" applyProtection="1"/>
    <xf numFmtId="0" fontId="7" fillId="0" borderId="0" xfId="0" applyFont="1" applyFill="1" applyBorder="1" applyAlignment="1" applyProtection="1">
      <alignment horizontal="center"/>
    </xf>
    <xf numFmtId="0" fontId="8" fillId="0" borderId="0" xfId="0" applyFont="1" applyFill="1" applyBorder="1" applyProtection="1"/>
    <xf numFmtId="165" fontId="8" fillId="0" borderId="0" xfId="1" applyNumberFormat="1" applyFont="1" applyFill="1" applyBorder="1" applyProtection="1"/>
    <xf numFmtId="0" fontId="8" fillId="0" borderId="0" xfId="0" applyFont="1" applyFill="1" applyAlignment="1" applyProtection="1"/>
    <xf numFmtId="165" fontId="8" fillId="0" borderId="0" xfId="1" applyNumberFormat="1" applyFont="1" applyAlignment="1" applyProtection="1"/>
    <xf numFmtId="0" fontId="0" fillId="0" borderId="0" xfId="0" applyFill="1" applyProtection="1"/>
    <xf numFmtId="0" fontId="12" fillId="0" borderId="0" xfId="0" applyFont="1" applyAlignment="1" applyProtection="1">
      <alignment horizontal="left"/>
    </xf>
    <xf numFmtId="0" fontId="15" fillId="0" borderId="0" xfId="0" applyFont="1" applyFill="1" applyBorder="1" applyAlignment="1" applyProtection="1">
      <alignment horizontal="left" vertical="center"/>
    </xf>
    <xf numFmtId="0" fontId="21" fillId="0" borderId="0" xfId="0" applyFont="1" applyAlignment="1" applyProtection="1">
      <alignment wrapText="1"/>
    </xf>
    <xf numFmtId="0" fontId="21" fillId="0" borderId="0" xfId="0" applyFont="1" applyAlignment="1" applyProtection="1">
      <alignment vertical="center" wrapText="1"/>
    </xf>
    <xf numFmtId="0" fontId="4" fillId="0" borderId="0" xfId="0" applyFont="1" applyFill="1" applyBorder="1" applyAlignment="1" applyProtection="1">
      <alignment vertical="center"/>
    </xf>
    <xf numFmtId="0" fontId="0" fillId="0" borderId="0" xfId="0" applyFill="1" applyAlignment="1" applyProtection="1">
      <alignment vertical="center"/>
    </xf>
    <xf numFmtId="165" fontId="2" fillId="0" borderId="0" xfId="1" applyNumberFormat="1" applyAlignment="1" applyProtection="1">
      <alignment vertical="center"/>
    </xf>
    <xf numFmtId="166" fontId="15" fillId="0" borderId="0" xfId="0" applyNumberFormat="1" applyFont="1" applyBorder="1" applyAlignment="1" applyProtection="1">
      <alignment horizontal="left" vertical="center" indent="1"/>
    </xf>
    <xf numFmtId="0" fontId="11" fillId="2" borderId="0" xfId="0" applyFont="1" applyFill="1" applyBorder="1" applyAlignment="1" applyProtection="1">
      <alignment vertical="center"/>
    </xf>
    <xf numFmtId="0" fontId="11" fillId="2" borderId="2" xfId="0" applyFont="1" applyFill="1" applyBorder="1" applyAlignment="1" applyProtection="1">
      <alignment vertical="center"/>
    </xf>
    <xf numFmtId="0" fontId="11" fillId="0" borderId="0" xfId="0" applyFont="1" applyFill="1" applyBorder="1" applyAlignment="1" applyProtection="1">
      <alignment horizontal="left"/>
    </xf>
    <xf numFmtId="0" fontId="11" fillId="2" borderId="3" xfId="0" applyFont="1" applyFill="1" applyBorder="1" applyAlignment="1" applyProtection="1">
      <alignment horizontal="left" vertical="center"/>
    </xf>
    <xf numFmtId="0" fontId="0" fillId="0" borderId="0" xfId="0" applyAlignment="1" applyProtection="1">
      <alignment horizontal="left" vertical="center"/>
    </xf>
    <xf numFmtId="0" fontId="8" fillId="0" borderId="0" xfId="0" applyFont="1" applyFill="1" applyBorder="1" applyAlignment="1" applyProtection="1">
      <alignment horizontal="center" vertical="center" wrapText="1"/>
    </xf>
    <xf numFmtId="0" fontId="0" fillId="0" borderId="0" xfId="0" applyBorder="1" applyAlignment="1" applyProtection="1">
      <alignment horizontal="center" vertical="center"/>
    </xf>
    <xf numFmtId="0" fontId="15" fillId="4" borderId="4" xfId="0" applyFont="1" applyFill="1" applyBorder="1" applyAlignment="1" applyProtection="1">
      <alignment horizontal="left" vertical="center" indent="1"/>
    </xf>
    <xf numFmtId="0" fontId="13" fillId="0" borderId="0" xfId="0" applyFont="1" applyBorder="1" applyAlignment="1" applyProtection="1">
      <alignment horizontal="center" vertical="center"/>
    </xf>
    <xf numFmtId="0" fontId="15" fillId="0" borderId="0" xfId="0" applyFont="1" applyBorder="1" applyAlignment="1" applyProtection="1">
      <alignment horizontal="left" vertical="center" indent="1"/>
    </xf>
    <xf numFmtId="0" fontId="13" fillId="0" borderId="0" xfId="0" applyFont="1" applyBorder="1" applyAlignment="1" applyProtection="1">
      <alignment horizontal="left" vertical="center" indent="1"/>
    </xf>
    <xf numFmtId="166" fontId="15" fillId="0" borderId="0" xfId="0" applyNumberFormat="1" applyFont="1" applyFill="1" applyBorder="1" applyAlignment="1" applyProtection="1">
      <alignment horizontal="left" vertical="center" indent="1"/>
    </xf>
    <xf numFmtId="0" fontId="15" fillId="0" borderId="0" xfId="0" applyFont="1" applyFill="1" applyBorder="1" applyAlignment="1" applyProtection="1">
      <alignment horizontal="left" vertical="center" indent="1"/>
    </xf>
    <xf numFmtId="0" fontId="11" fillId="2" borderId="5" xfId="0" applyFont="1" applyFill="1" applyBorder="1" applyAlignment="1" applyProtection="1">
      <alignment vertical="center"/>
    </xf>
    <xf numFmtId="0" fontId="11" fillId="2" borderId="6" xfId="0" applyFont="1" applyFill="1" applyBorder="1" applyAlignment="1" applyProtection="1">
      <alignment vertical="center"/>
    </xf>
    <xf numFmtId="0" fontId="11" fillId="2" borderId="7" xfId="0" applyFont="1" applyFill="1" applyBorder="1" applyAlignment="1" applyProtection="1">
      <alignment vertical="center"/>
    </xf>
    <xf numFmtId="0" fontId="10" fillId="4" borderId="8" xfId="0" applyFont="1" applyFill="1" applyBorder="1" applyAlignment="1" applyProtection="1">
      <alignment vertical="center"/>
    </xf>
    <xf numFmtId="0" fontId="13" fillId="5" borderId="1" xfId="0" applyFont="1" applyFill="1" applyBorder="1" applyAlignment="1" applyProtection="1">
      <alignment horizontal="center" vertical="center"/>
    </xf>
    <xf numFmtId="0" fontId="0" fillId="2" borderId="0" xfId="0" applyFill="1" applyAlignment="1" applyProtection="1"/>
    <xf numFmtId="0" fontId="0" fillId="2" borderId="9" xfId="0" applyFill="1" applyBorder="1" applyAlignment="1" applyProtection="1"/>
    <xf numFmtId="0" fontId="0" fillId="2" borderId="10" xfId="0" applyFill="1" applyBorder="1" applyAlignment="1" applyProtection="1"/>
    <xf numFmtId="0" fontId="0" fillId="2" borderId="2" xfId="0" applyFill="1" applyBorder="1" applyAlignment="1" applyProtection="1"/>
    <xf numFmtId="166" fontId="15" fillId="3" borderId="0" xfId="0" applyNumberFormat="1" applyFont="1" applyFill="1" applyBorder="1" applyAlignment="1" applyProtection="1">
      <alignment horizontal="left" vertical="center" indent="1"/>
    </xf>
    <xf numFmtId="0" fontId="0" fillId="3" borderId="0" xfId="0" applyFill="1" applyAlignment="1" applyProtection="1">
      <alignment vertical="center"/>
    </xf>
    <xf numFmtId="0" fontId="4" fillId="3" borderId="0" xfId="0" applyFont="1" applyFill="1" applyBorder="1" applyAlignment="1" applyProtection="1">
      <alignment vertical="center"/>
    </xf>
    <xf numFmtId="165" fontId="4" fillId="3" borderId="0" xfId="1" applyNumberFormat="1" applyFont="1" applyFill="1" applyBorder="1" applyAlignment="1" applyProtection="1">
      <alignment vertical="center"/>
    </xf>
    <xf numFmtId="0" fontId="6" fillId="3" borderId="0" xfId="0" applyFont="1" applyFill="1" applyBorder="1" applyAlignment="1" applyProtection="1">
      <alignment vertical="center"/>
    </xf>
    <xf numFmtId="0" fontId="8" fillId="3" borderId="0" xfId="0" applyFont="1" applyFill="1" applyAlignment="1" applyProtection="1">
      <alignment vertical="center"/>
    </xf>
    <xf numFmtId="0" fontId="8" fillId="3" borderId="0" xfId="0" applyFont="1" applyFill="1" applyBorder="1" applyAlignment="1" applyProtection="1">
      <alignment vertical="center"/>
    </xf>
    <xf numFmtId="0" fontId="0" fillId="3" borderId="0" xfId="0" applyFill="1" applyBorder="1" applyProtection="1"/>
    <xf numFmtId="0" fontId="4" fillId="3" borderId="0" xfId="0" applyFont="1" applyFill="1" applyBorder="1" applyProtection="1"/>
    <xf numFmtId="165" fontId="4" fillId="3" borderId="0" xfId="1" applyNumberFormat="1" applyFont="1" applyFill="1" applyBorder="1" applyProtection="1"/>
    <xf numFmtId="0" fontId="0" fillId="3" borderId="0" xfId="0" applyFill="1" applyProtection="1"/>
    <xf numFmtId="0" fontId="15" fillId="3" borderId="0" xfId="0" applyFont="1" applyFill="1" applyAlignment="1" applyProtection="1">
      <alignment vertical="center"/>
    </xf>
    <xf numFmtId="0" fontId="8" fillId="3" borderId="0" xfId="0" applyFont="1" applyFill="1" applyProtection="1"/>
    <xf numFmtId="0" fontId="12" fillId="3" borderId="0" xfId="0" applyFont="1" applyFill="1" applyProtection="1"/>
    <xf numFmtId="165" fontId="12" fillId="3" borderId="0" xfId="1" applyNumberFormat="1" applyFont="1" applyFill="1" applyProtection="1"/>
    <xf numFmtId="0" fontId="17" fillId="3" borderId="0" xfId="0" applyFont="1" applyFill="1" applyBorder="1" applyAlignment="1" applyProtection="1">
      <alignment horizontal="left"/>
    </xf>
    <xf numFmtId="0" fontId="6" fillId="3" borderId="0" xfId="0" applyFont="1" applyFill="1" applyBorder="1" applyProtection="1"/>
    <xf numFmtId="0" fontId="17" fillId="3" borderId="11" xfId="0" applyFont="1" applyFill="1" applyBorder="1" applyAlignment="1" applyProtection="1">
      <alignment horizontal="left"/>
    </xf>
    <xf numFmtId="0" fontId="15" fillId="3" borderId="0" xfId="0" applyFont="1" applyFill="1" applyProtection="1"/>
    <xf numFmtId="0" fontId="15" fillId="4" borderId="12" xfId="0" applyFont="1" applyFill="1" applyBorder="1" applyAlignment="1" applyProtection="1">
      <alignment horizontal="left" vertical="center" indent="1"/>
    </xf>
    <xf numFmtId="0" fontId="15" fillId="3" borderId="0" xfId="0" applyFont="1" applyFill="1" applyBorder="1" applyAlignment="1" applyProtection="1">
      <alignment horizontal="left" vertical="center" indent="1"/>
    </xf>
    <xf numFmtId="165" fontId="2" fillId="3" borderId="0" xfId="1" applyNumberFormat="1" applyFill="1" applyBorder="1" applyProtection="1"/>
    <xf numFmtId="0" fontId="0" fillId="3" borderId="0" xfId="0" applyFill="1" applyAlignment="1" applyProtection="1">
      <alignment horizontal="left" vertical="center"/>
    </xf>
    <xf numFmtId="0" fontId="13" fillId="3" borderId="0" xfId="0" applyFont="1" applyFill="1" applyBorder="1" applyAlignment="1" applyProtection="1">
      <alignment horizontal="left" vertical="center" indent="1"/>
    </xf>
    <xf numFmtId="0" fontId="18" fillId="3" borderId="0" xfId="0" applyFont="1" applyFill="1" applyBorder="1" applyAlignment="1" applyProtection="1">
      <alignment horizontal="left"/>
    </xf>
    <xf numFmtId="0" fontId="12" fillId="3" borderId="0" xfId="0" applyFont="1" applyFill="1" applyAlignment="1" applyProtection="1">
      <alignment horizontal="left" indent="1"/>
    </xf>
    <xf numFmtId="0" fontId="12" fillId="3" borderId="0" xfId="0" applyFont="1" applyFill="1" applyBorder="1" applyProtection="1"/>
    <xf numFmtId="0" fontId="15" fillId="4" borderId="13" xfId="0" applyFont="1" applyFill="1" applyBorder="1" applyAlignment="1" applyProtection="1">
      <alignment horizontal="left" indent="1"/>
    </xf>
    <xf numFmtId="0" fontId="4" fillId="3" borderId="0" xfId="0" applyFont="1" applyFill="1" applyProtection="1"/>
    <xf numFmtId="0" fontId="0" fillId="3" borderId="0" xfId="0" applyFill="1" applyAlignment="1" applyProtection="1"/>
    <xf numFmtId="0" fontId="12" fillId="3" borderId="0" xfId="0" applyFont="1" applyFill="1" applyBorder="1" applyAlignment="1" applyProtection="1"/>
    <xf numFmtId="166" fontId="15" fillId="4" borderId="13" xfId="0" applyNumberFormat="1" applyFont="1" applyFill="1" applyBorder="1" applyAlignment="1" applyProtection="1">
      <alignment horizontal="left" indent="1"/>
    </xf>
    <xf numFmtId="0" fontId="15" fillId="4" borderId="14" xfId="0" applyFont="1" applyFill="1" applyBorder="1" applyAlignment="1" applyProtection="1">
      <alignment horizontal="left" vertical="center" indent="1"/>
    </xf>
    <xf numFmtId="166" fontId="15" fillId="4" borderId="1" xfId="0" applyNumberFormat="1" applyFont="1" applyFill="1" applyBorder="1" applyAlignment="1" applyProtection="1">
      <alignment horizontal="left" vertical="center" indent="1"/>
    </xf>
    <xf numFmtId="0" fontId="15" fillId="4" borderId="15" xfId="0" applyFont="1" applyFill="1" applyBorder="1" applyAlignment="1" applyProtection="1">
      <alignment horizontal="left" vertical="center" indent="1"/>
    </xf>
    <xf numFmtId="166" fontId="15" fillId="4" borderId="4" xfId="0" applyNumberFormat="1" applyFont="1" applyFill="1" applyBorder="1" applyAlignment="1" applyProtection="1">
      <alignment horizontal="left" vertical="center" indent="1"/>
    </xf>
    <xf numFmtId="0" fontId="9" fillId="0" borderId="0" xfId="0" applyFont="1" applyBorder="1" applyAlignment="1" applyProtection="1"/>
    <xf numFmtId="0" fontId="9" fillId="0" borderId="0" xfId="0" applyFont="1" applyAlignment="1" applyProtection="1"/>
    <xf numFmtId="0" fontId="13" fillId="4" borderId="1" xfId="0" applyFont="1" applyFill="1" applyBorder="1" applyAlignment="1" applyProtection="1">
      <alignment vertical="top" wrapText="1"/>
    </xf>
    <xf numFmtId="0" fontId="13" fillId="4" borderId="16" xfId="0" applyFont="1" applyFill="1" applyBorder="1" applyAlignment="1" applyProtection="1">
      <alignment vertical="top"/>
    </xf>
    <xf numFmtId="0" fontId="13" fillId="4" borderId="1" xfId="0" applyFont="1" applyFill="1" applyBorder="1" applyProtection="1"/>
    <xf numFmtId="0" fontId="13" fillId="4" borderId="1" xfId="0" applyFont="1" applyFill="1" applyBorder="1" applyAlignment="1" applyProtection="1">
      <alignment vertical="top"/>
    </xf>
    <xf numFmtId="0" fontId="0" fillId="0" borderId="17" xfId="0" applyBorder="1"/>
    <xf numFmtId="0" fontId="0" fillId="0" borderId="0" xfId="0" applyBorder="1"/>
    <xf numFmtId="0" fontId="23" fillId="0" borderId="0" xfId="0" applyFont="1" applyBorder="1" applyAlignment="1">
      <alignment vertical="top" wrapText="1"/>
    </xf>
    <xf numFmtId="0" fontId="23" fillId="0" borderId="0" xfId="0" applyFont="1"/>
    <xf numFmtId="0" fontId="15" fillId="0" borderId="18" xfId="0" applyFont="1" applyBorder="1" applyAlignment="1" applyProtection="1">
      <alignment vertical="top" wrapText="1"/>
    </xf>
    <xf numFmtId="0" fontId="18" fillId="0" borderId="18" xfId="0" applyFont="1" applyBorder="1" applyAlignment="1" applyProtection="1">
      <alignment vertical="top" wrapText="1"/>
    </xf>
    <xf numFmtId="0" fontId="15" fillId="0" borderId="0" xfId="0" applyFont="1" applyAlignment="1" applyProtection="1">
      <alignment horizontal="right" vertical="top"/>
    </xf>
    <xf numFmtId="0" fontId="18" fillId="0" borderId="19" xfId="0" applyFont="1" applyBorder="1" applyAlignment="1" applyProtection="1">
      <alignment vertical="top" wrapText="1"/>
    </xf>
    <xf numFmtId="0" fontId="15" fillId="0" borderId="18" xfId="0" applyFont="1" applyBorder="1" applyAlignment="1">
      <alignment vertical="top" wrapText="1"/>
    </xf>
    <xf numFmtId="0" fontId="15" fillId="0" borderId="0" xfId="0" applyFont="1" applyAlignment="1" applyProtection="1">
      <alignment vertical="top" wrapText="1"/>
    </xf>
    <xf numFmtId="0" fontId="15" fillId="0" borderId="20" xfId="0" applyFont="1" applyBorder="1" applyAlignment="1" applyProtection="1">
      <alignment vertical="top" wrapText="1"/>
    </xf>
    <xf numFmtId="0" fontId="18" fillId="0" borderId="20" xfId="0" applyFont="1" applyBorder="1" applyAlignment="1" applyProtection="1">
      <alignment vertical="top" wrapText="1"/>
    </xf>
    <xf numFmtId="0" fontId="18" fillId="0" borderId="21" xfId="0" applyFont="1" applyBorder="1" applyAlignment="1" applyProtection="1">
      <alignment vertical="top" wrapText="1"/>
    </xf>
    <xf numFmtId="0" fontId="15" fillId="0" borderId="20" xfId="0" applyFont="1" applyBorder="1" applyAlignment="1">
      <alignment vertical="top" wrapText="1"/>
    </xf>
    <xf numFmtId="0" fontId="0" fillId="0" borderId="0" xfId="0" applyAlignment="1">
      <alignment horizontal="right"/>
    </xf>
    <xf numFmtId="0" fontId="32" fillId="0" borderId="0" xfId="0" applyFont="1" applyAlignment="1">
      <alignment vertical="top" wrapText="1"/>
    </xf>
    <xf numFmtId="0" fontId="3" fillId="0" borderId="0" xfId="0" applyFont="1"/>
    <xf numFmtId="0" fontId="18" fillId="0" borderId="22" xfId="0" applyFont="1" applyBorder="1" applyAlignment="1" applyProtection="1">
      <alignment vertical="top" wrapText="1"/>
    </xf>
    <xf numFmtId="0" fontId="15" fillId="0" borderId="23" xfId="0" applyFont="1" applyBorder="1" applyAlignment="1" applyProtection="1">
      <alignment vertical="top" wrapText="1"/>
    </xf>
    <xf numFmtId="0" fontId="18" fillId="0" borderId="24" xfId="0" applyFont="1" applyBorder="1" applyAlignment="1" applyProtection="1">
      <alignment vertical="top" wrapText="1"/>
    </xf>
    <xf numFmtId="0" fontId="15" fillId="0" borderId="25" xfId="0" applyFont="1" applyBorder="1" applyProtection="1"/>
    <xf numFmtId="0" fontId="33" fillId="0" borderId="0" xfId="0" applyFont="1"/>
    <xf numFmtId="0" fontId="15" fillId="0" borderId="9" xfId="0" applyFont="1" applyBorder="1" applyProtection="1"/>
    <xf numFmtId="0" fontId="15" fillId="0" borderId="0" xfId="0" applyFont="1" applyBorder="1" applyProtection="1"/>
    <xf numFmtId="0" fontId="15" fillId="0" borderId="26" xfId="0" applyFont="1" applyBorder="1" applyAlignment="1">
      <alignment vertical="top" wrapText="1"/>
    </xf>
    <xf numFmtId="0" fontId="15" fillId="0" borderId="0" xfId="0" applyFont="1" applyAlignment="1">
      <alignment vertical="top"/>
    </xf>
    <xf numFmtId="0" fontId="8" fillId="0" borderId="0" xfId="0" applyFont="1" applyBorder="1" applyAlignment="1">
      <alignment vertical="top" wrapText="1"/>
    </xf>
    <xf numFmtId="0" fontId="8" fillId="0" borderId="0" xfId="0" applyFont="1" applyAlignment="1">
      <alignment vertical="top" wrapText="1"/>
    </xf>
    <xf numFmtId="0" fontId="8" fillId="0" borderId="0" xfId="0" applyFont="1" applyAlignment="1">
      <alignment horizontal="left"/>
    </xf>
    <xf numFmtId="0" fontId="15" fillId="0" borderId="27" xfId="0" applyFont="1" applyBorder="1" applyAlignment="1" applyProtection="1">
      <alignment horizontal="left" vertical="top" wrapText="1"/>
    </xf>
    <xf numFmtId="0" fontId="15" fillId="0" borderId="0" xfId="0" applyFont="1" applyAlignment="1" applyProtection="1">
      <alignment horizontal="left" vertical="top" wrapText="1"/>
    </xf>
    <xf numFmtId="0" fontId="34" fillId="0" borderId="0" xfId="0" applyFont="1"/>
    <xf numFmtId="0" fontId="15" fillId="0" borderId="0" xfId="0" applyFont="1"/>
    <xf numFmtId="0" fontId="15" fillId="0" borderId="0" xfId="0" applyFont="1" applyAlignment="1" applyProtection="1">
      <alignment vertical="top"/>
    </xf>
    <xf numFmtId="0" fontId="13" fillId="4" borderId="28" xfId="0" applyFont="1" applyFill="1" applyBorder="1" applyAlignment="1" applyProtection="1">
      <alignment vertical="top" wrapText="1"/>
    </xf>
    <xf numFmtId="0" fontId="18" fillId="0" borderId="18" xfId="0" applyFont="1" applyBorder="1" applyAlignment="1">
      <alignment vertical="top" wrapText="1"/>
    </xf>
    <xf numFmtId="0" fontId="18" fillId="0" borderId="19" xfId="0" applyFont="1" applyBorder="1" applyAlignment="1">
      <alignment vertical="top" wrapText="1"/>
    </xf>
    <xf numFmtId="0" fontId="18" fillId="0" borderId="20" xfId="0" applyFont="1" applyBorder="1" applyAlignment="1">
      <alignment vertical="top" wrapText="1"/>
    </xf>
    <xf numFmtId="0" fontId="18" fillId="0" borderId="21" xfId="0" applyFont="1" applyBorder="1" applyAlignment="1">
      <alignment vertical="top" wrapText="1"/>
    </xf>
    <xf numFmtId="0" fontId="18" fillId="0" borderId="26" xfId="0" applyFont="1" applyBorder="1" applyAlignment="1">
      <alignment vertical="top" wrapText="1"/>
    </xf>
    <xf numFmtId="0" fontId="18" fillId="0" borderId="24" xfId="0" applyFont="1" applyBorder="1" applyAlignment="1">
      <alignment vertical="top" wrapText="1"/>
    </xf>
    <xf numFmtId="0" fontId="18" fillId="0" borderId="0" xfId="0" applyFont="1" applyAlignment="1">
      <alignment vertical="top" wrapText="1"/>
    </xf>
    <xf numFmtId="0" fontId="18" fillId="0" borderId="0" xfId="0" applyFont="1" applyAlignment="1" applyProtection="1">
      <alignment vertical="top" wrapText="1"/>
    </xf>
    <xf numFmtId="0" fontId="15" fillId="0" borderId="26" xfId="0" applyFont="1" applyBorder="1" applyAlignment="1" applyProtection="1">
      <alignment vertical="top" wrapText="1"/>
    </xf>
    <xf numFmtId="0" fontId="15" fillId="0" borderId="0" xfId="0" applyFont="1" applyBorder="1" applyAlignment="1">
      <alignment vertical="top" wrapText="1"/>
    </xf>
    <xf numFmtId="0" fontId="15" fillId="0" borderId="0" xfId="0" applyFont="1" applyBorder="1" applyAlignment="1" applyProtection="1">
      <alignment vertical="top" wrapText="1"/>
    </xf>
    <xf numFmtId="0" fontId="15" fillId="0" borderId="0" xfId="0" applyFont="1" applyAlignment="1">
      <alignment vertical="top" wrapText="1"/>
    </xf>
    <xf numFmtId="0" fontId="23" fillId="4" borderId="1" xfId="0" applyFont="1" applyFill="1" applyBorder="1" applyAlignment="1" applyProtection="1">
      <alignment vertical="top" wrapText="1"/>
    </xf>
    <xf numFmtId="0" fontId="23" fillId="4" borderId="1" xfId="0" applyFont="1" applyFill="1" applyBorder="1" applyAlignment="1" applyProtection="1">
      <alignment vertical="top"/>
    </xf>
    <xf numFmtId="0" fontId="23" fillId="4" borderId="1" xfId="0" applyFont="1" applyFill="1" applyBorder="1" applyProtection="1"/>
    <xf numFmtId="0" fontId="15" fillId="0" borderId="18" xfId="0" applyFont="1" applyBorder="1" applyAlignment="1">
      <alignment horizontal="left" vertical="top" wrapText="1"/>
    </xf>
    <xf numFmtId="0" fontId="0" fillId="0" borderId="0" xfId="0" applyAlignment="1" applyProtection="1">
      <alignment horizontal="right" vertical="top"/>
    </xf>
    <xf numFmtId="0" fontId="15" fillId="0" borderId="20" xfId="0" applyFont="1" applyBorder="1" applyAlignment="1">
      <alignment horizontal="left" vertical="top" wrapText="1"/>
    </xf>
    <xf numFmtId="0" fontId="8" fillId="0" borderId="0" xfId="0" applyFont="1"/>
    <xf numFmtId="0" fontId="18" fillId="0" borderId="20" xfId="0" applyFont="1" applyBorder="1" applyAlignment="1">
      <alignment horizontal="left" vertical="top" wrapText="1"/>
    </xf>
    <xf numFmtId="0" fontId="32" fillId="0" borderId="0" xfId="0" applyFont="1" applyAlignment="1" applyProtection="1">
      <alignment vertical="top" wrapText="1"/>
    </xf>
    <xf numFmtId="0" fontId="15" fillId="0" borderId="26" xfId="0" applyFont="1" applyBorder="1" applyAlignment="1">
      <alignment horizontal="left" vertical="top" wrapText="1"/>
    </xf>
    <xf numFmtId="0" fontId="8" fillId="0" borderId="0" xfId="0" applyFont="1" applyAlignment="1" applyProtection="1">
      <alignment vertical="top" wrapText="1"/>
    </xf>
    <xf numFmtId="0" fontId="8" fillId="0" borderId="0" xfId="0" applyFont="1" applyAlignment="1" applyProtection="1">
      <alignment horizontal="left" vertical="top" wrapText="1"/>
    </xf>
    <xf numFmtId="0" fontId="0" fillId="0" borderId="0" xfId="0" applyAlignment="1">
      <alignment horizontal="left" vertical="top" wrapText="1"/>
    </xf>
    <xf numFmtId="0" fontId="0" fillId="0" borderId="0" xfId="0" applyAlignment="1">
      <alignment vertical="top" wrapText="1"/>
    </xf>
    <xf numFmtId="0" fontId="6" fillId="0" borderId="0" xfId="0" applyFont="1" applyFill="1" applyBorder="1" applyAlignment="1" applyProtection="1">
      <alignment vertical="center"/>
    </xf>
    <xf numFmtId="0" fontId="6" fillId="0" borderId="0" xfId="0" applyFont="1" applyFill="1" applyBorder="1" applyProtection="1"/>
    <xf numFmtId="0" fontId="11" fillId="2" borderId="10" xfId="0" applyFont="1" applyFill="1" applyBorder="1" applyAlignment="1" applyProtection="1">
      <alignment vertical="center"/>
    </xf>
    <xf numFmtId="0" fontId="13" fillId="0" borderId="0" xfId="0" applyFont="1" applyFill="1" applyBorder="1" applyAlignment="1" applyProtection="1">
      <alignment horizontal="left" vertical="center" wrapText="1"/>
    </xf>
    <xf numFmtId="0" fontId="12" fillId="0" borderId="0" xfId="0" applyFont="1" applyFill="1" applyBorder="1" applyAlignment="1" applyProtection="1"/>
    <xf numFmtId="0" fontId="15" fillId="0" borderId="0" xfId="0" applyFont="1" applyFill="1" applyAlignment="1" applyProtection="1">
      <alignment vertical="center"/>
    </xf>
    <xf numFmtId="0" fontId="21" fillId="0" borderId="0" xfId="0" applyFont="1" applyFill="1" applyBorder="1" applyAlignment="1" applyProtection="1">
      <alignment horizontal="left" vertical="center"/>
    </xf>
    <xf numFmtId="0" fontId="6" fillId="0" borderId="0" xfId="0" applyFont="1" applyFill="1" applyBorder="1" applyAlignment="1" applyProtection="1">
      <alignment horizontal="left"/>
    </xf>
    <xf numFmtId="0" fontId="12" fillId="0" borderId="0" xfId="0" applyFont="1" applyFill="1" applyBorder="1" applyAlignment="1" applyProtection="1">
      <alignment horizontal="left" vertical="center"/>
    </xf>
    <xf numFmtId="0" fontId="2" fillId="0" borderId="0" xfId="0" applyFont="1" applyAlignment="1" applyProtection="1">
      <alignment vertical="center"/>
    </xf>
    <xf numFmtId="0" fontId="12" fillId="0" borderId="0" xfId="0" applyFont="1" applyFill="1" applyBorder="1" applyProtection="1"/>
    <xf numFmtId="0" fontId="12" fillId="0" borderId="0" xfId="0" applyFont="1" applyFill="1" applyBorder="1" applyAlignment="1" applyProtection="1">
      <alignment horizontal="left" indent="1"/>
    </xf>
    <xf numFmtId="0" fontId="12" fillId="0" borderId="0" xfId="0" applyFont="1" applyFill="1" applyProtection="1"/>
    <xf numFmtId="0" fontId="12" fillId="0" borderId="0" xfId="0" applyFont="1" applyFill="1" applyBorder="1" applyAlignment="1" applyProtection="1">
      <alignment horizontal="left" vertical="center" wrapText="1"/>
    </xf>
    <xf numFmtId="167" fontId="13" fillId="0" borderId="0" xfId="0" applyNumberFormat="1" applyFont="1" applyFill="1" applyBorder="1" applyAlignment="1" applyProtection="1">
      <alignment horizontal="right" vertical="center"/>
    </xf>
    <xf numFmtId="0" fontId="2" fillId="0" borderId="0" xfId="0" applyFont="1" applyFill="1" applyBorder="1" applyAlignment="1" applyProtection="1"/>
    <xf numFmtId="0" fontId="13" fillId="5" borderId="3" xfId="0" applyFont="1" applyFill="1" applyBorder="1" applyAlignment="1" applyProtection="1">
      <alignment horizontal="center" vertical="center"/>
    </xf>
    <xf numFmtId="0" fontId="13" fillId="5" borderId="12" xfId="0" applyFont="1" applyFill="1" applyBorder="1" applyAlignment="1" applyProtection="1">
      <alignment horizontal="center" vertical="center"/>
    </xf>
    <xf numFmtId="0" fontId="13" fillId="5" borderId="12" xfId="0" applyFont="1" applyFill="1" applyBorder="1" applyAlignment="1" applyProtection="1">
      <alignment horizontal="center" vertical="center" wrapText="1"/>
    </xf>
    <xf numFmtId="0" fontId="8" fillId="0" borderId="0" xfId="0" applyFont="1" applyFill="1" applyAlignment="1" applyProtection="1">
      <alignment wrapText="1"/>
    </xf>
    <xf numFmtId="0" fontId="12" fillId="0" borderId="0" xfId="0" applyFont="1" applyAlignment="1" applyProtection="1">
      <alignment vertical="center"/>
    </xf>
    <xf numFmtId="165" fontId="12" fillId="0" borderId="0" xfId="1" applyNumberFormat="1" applyFont="1" applyBorder="1" applyAlignment="1" applyProtection="1">
      <alignment vertical="center"/>
    </xf>
    <xf numFmtId="167" fontId="12" fillId="0" borderId="0" xfId="0" applyNumberFormat="1" applyFont="1" applyFill="1" applyBorder="1" applyAlignment="1" applyProtection="1">
      <alignment horizontal="right" vertical="center"/>
    </xf>
    <xf numFmtId="167" fontId="12" fillId="4" borderId="1" xfId="0" applyNumberFormat="1" applyFont="1" applyFill="1" applyBorder="1" applyAlignment="1" applyProtection="1">
      <alignment horizontal="right" vertical="center"/>
    </xf>
    <xf numFmtId="0" fontId="2" fillId="0" borderId="0" xfId="0" applyFont="1" applyFill="1" applyProtection="1"/>
    <xf numFmtId="0" fontId="2" fillId="0" borderId="0" xfId="0" applyFont="1" applyFill="1" applyBorder="1" applyProtection="1"/>
    <xf numFmtId="0" fontId="12" fillId="0" borderId="0" xfId="0" applyFont="1" applyAlignment="1" applyProtection="1"/>
    <xf numFmtId="166" fontId="12" fillId="0" borderId="0" xfId="0" applyNumberFormat="1" applyFont="1" applyFill="1" applyBorder="1" applyAlignment="1" applyProtection="1">
      <alignment vertical="center"/>
    </xf>
    <xf numFmtId="0" fontId="12" fillId="0" borderId="0" xfId="0" applyFont="1" applyFill="1" applyBorder="1" applyAlignment="1" applyProtection="1">
      <alignment horizontal="center"/>
    </xf>
    <xf numFmtId="0" fontId="15" fillId="0" borderId="29" xfId="0" applyFont="1" applyBorder="1" applyAlignment="1" applyProtection="1">
      <alignment vertical="center"/>
    </xf>
    <xf numFmtId="0" fontId="15" fillId="0" borderId="30" xfId="0" applyFont="1" applyBorder="1" applyAlignment="1" applyProtection="1">
      <alignment vertical="center"/>
    </xf>
    <xf numFmtId="0" fontId="15" fillId="0" borderId="31" xfId="0" applyFont="1" applyBorder="1" applyAlignment="1" applyProtection="1">
      <alignment vertical="center"/>
    </xf>
    <xf numFmtId="0" fontId="15" fillId="0" borderId="32" xfId="0" applyFont="1" applyBorder="1" applyAlignment="1" applyProtection="1">
      <alignment vertical="center"/>
    </xf>
    <xf numFmtId="0" fontId="15" fillId="0" borderId="33" xfId="0" applyFont="1" applyBorder="1" applyAlignment="1" applyProtection="1">
      <alignment vertical="center"/>
    </xf>
    <xf numFmtId="0" fontId="15" fillId="0" borderId="34" xfId="0" applyFont="1" applyBorder="1" applyAlignment="1" applyProtection="1">
      <alignment vertical="center"/>
    </xf>
    <xf numFmtId="0" fontId="6" fillId="0" borderId="35" xfId="0" applyFont="1" applyFill="1" applyBorder="1" applyAlignment="1" applyProtection="1">
      <alignment vertical="center"/>
    </xf>
    <xf numFmtId="0" fontId="11" fillId="0" borderId="36" xfId="0" applyFont="1" applyFill="1" applyBorder="1" applyAlignment="1" applyProtection="1">
      <alignment vertical="center"/>
    </xf>
    <xf numFmtId="0" fontId="11" fillId="0" borderId="37" xfId="0" applyFont="1" applyFill="1" applyBorder="1" applyAlignment="1" applyProtection="1">
      <alignment vertical="center"/>
    </xf>
    <xf numFmtId="0" fontId="11" fillId="0" borderId="32" xfId="0" applyFont="1" applyFill="1" applyBorder="1" applyAlignment="1" applyProtection="1">
      <alignment vertical="center"/>
    </xf>
    <xf numFmtId="0" fontId="15" fillId="0" borderId="38" xfId="0" applyFont="1" applyFill="1" applyBorder="1" applyAlignment="1" applyProtection="1">
      <alignment horizontal="left" vertical="center" indent="1"/>
    </xf>
    <xf numFmtId="0" fontId="15" fillId="0" borderId="38" xfId="0" applyFont="1" applyFill="1" applyBorder="1" applyAlignment="1" applyProtection="1">
      <alignment vertical="center"/>
    </xf>
    <xf numFmtId="0" fontId="15" fillId="0" borderId="32" xfId="0" applyFont="1" applyFill="1" applyBorder="1" applyAlignment="1" applyProtection="1">
      <alignment horizontal="left" vertical="center" indent="1"/>
    </xf>
    <xf numFmtId="0" fontId="15" fillId="0" borderId="39" xfId="0" applyFont="1" applyFill="1" applyBorder="1" applyAlignment="1" applyProtection="1">
      <alignment horizontal="left" vertical="center" indent="1"/>
    </xf>
    <xf numFmtId="0" fontId="15" fillId="0" borderId="40" xfId="0" applyFont="1" applyFill="1" applyBorder="1" applyAlignment="1" applyProtection="1">
      <alignment horizontal="left" vertical="center" indent="1"/>
    </xf>
    <xf numFmtId="0" fontId="15" fillId="0" borderId="34" xfId="0" applyFont="1" applyFill="1" applyBorder="1" applyAlignment="1" applyProtection="1">
      <alignment horizontal="left" vertical="center" indent="1"/>
    </xf>
    <xf numFmtId="0" fontId="15" fillId="0" borderId="41" xfId="0" applyFont="1" applyFill="1" applyBorder="1" applyAlignment="1" applyProtection="1">
      <alignment vertical="center"/>
    </xf>
    <xf numFmtId="0" fontId="15" fillId="0" borderId="32" xfId="0" applyFont="1" applyFill="1" applyBorder="1" applyAlignment="1" applyProtection="1">
      <alignment vertical="center"/>
    </xf>
    <xf numFmtId="0" fontId="15" fillId="0" borderId="34" xfId="0" applyFont="1" applyFill="1" applyBorder="1" applyAlignment="1" applyProtection="1">
      <alignment vertical="center"/>
    </xf>
    <xf numFmtId="0" fontId="11" fillId="0" borderId="35" xfId="0" applyFont="1" applyFill="1" applyBorder="1" applyAlignment="1" applyProtection="1">
      <alignment vertical="center"/>
    </xf>
    <xf numFmtId="0" fontId="9" fillId="0" borderId="42" xfId="0" applyFont="1" applyFill="1" applyBorder="1" applyAlignment="1" applyProtection="1">
      <alignment horizontal="center" wrapText="1"/>
    </xf>
    <xf numFmtId="0" fontId="9" fillId="0" borderId="43" xfId="0" applyFont="1" applyFill="1" applyBorder="1" applyAlignment="1" applyProtection="1">
      <alignment horizontal="center" wrapText="1"/>
    </xf>
    <xf numFmtId="0" fontId="9" fillId="0" borderId="44" xfId="0" applyFont="1" applyFill="1" applyBorder="1" applyAlignment="1" applyProtection="1">
      <alignment horizontal="center" wrapText="1"/>
    </xf>
    <xf numFmtId="0" fontId="6" fillId="0" borderId="34" xfId="0" applyFont="1" applyFill="1" applyBorder="1" applyAlignment="1" applyProtection="1">
      <alignment horizontal="left"/>
    </xf>
    <xf numFmtId="0" fontId="17" fillId="0" borderId="34" xfId="0" applyFont="1" applyFill="1" applyBorder="1" applyAlignment="1" applyProtection="1">
      <alignment horizontal="left"/>
    </xf>
    <xf numFmtId="0" fontId="6" fillId="0" borderId="33" xfId="0" applyFont="1" applyFill="1" applyBorder="1" applyAlignment="1" applyProtection="1">
      <alignment horizontal="left"/>
    </xf>
    <xf numFmtId="0" fontId="15" fillId="3" borderId="0" xfId="0" applyFont="1" applyFill="1" applyBorder="1" applyAlignment="1" applyProtection="1">
      <alignment vertical="center"/>
    </xf>
    <xf numFmtId="0" fontId="15" fillId="3" borderId="35" xfId="0" applyFont="1" applyFill="1" applyBorder="1" applyAlignment="1" applyProtection="1">
      <alignment vertical="center"/>
    </xf>
    <xf numFmtId="167" fontId="15" fillId="0" borderId="45" xfId="0" applyNumberFormat="1" applyFont="1" applyFill="1" applyBorder="1" applyAlignment="1" applyProtection="1">
      <alignment horizontal="right" vertical="center"/>
    </xf>
    <xf numFmtId="167" fontId="15" fillId="0" borderId="46" xfId="0" applyNumberFormat="1" applyFont="1" applyFill="1" applyBorder="1" applyAlignment="1" applyProtection="1">
      <alignment horizontal="right" vertical="center"/>
    </xf>
    <xf numFmtId="0" fontId="12" fillId="0" borderId="46" xfId="0" applyFont="1" applyFill="1" applyBorder="1" applyAlignment="1" applyProtection="1">
      <alignment horizontal="left" vertical="center" wrapText="1"/>
    </xf>
    <xf numFmtId="0" fontId="15" fillId="0" borderId="46" xfId="0" applyFont="1" applyFill="1" applyBorder="1" applyAlignment="1" applyProtection="1">
      <alignment horizontal="left" vertical="center" wrapText="1"/>
    </xf>
    <xf numFmtId="0" fontId="15" fillId="0" borderId="33" xfId="0" applyFont="1" applyFill="1" applyBorder="1" applyAlignment="1" applyProtection="1">
      <alignment horizontal="left" vertical="center"/>
    </xf>
    <xf numFmtId="0" fontId="15" fillId="0" borderId="47" xfId="0" applyFont="1" applyFill="1" applyBorder="1" applyAlignment="1" applyProtection="1">
      <alignment horizontal="left" vertical="center"/>
    </xf>
    <xf numFmtId="0" fontId="0" fillId="0" borderId="33" xfId="0" applyFill="1" applyBorder="1" applyAlignment="1" applyProtection="1">
      <alignment vertical="center"/>
    </xf>
    <xf numFmtId="0" fontId="13" fillId="0" borderId="46" xfId="0" applyFont="1" applyFill="1" applyBorder="1" applyAlignment="1" applyProtection="1">
      <alignment horizontal="left" vertical="center" wrapText="1"/>
    </xf>
    <xf numFmtId="0" fontId="13" fillId="0" borderId="46" xfId="0" applyFont="1" applyFill="1" applyBorder="1" applyAlignment="1" applyProtection="1">
      <alignment horizontal="center" vertical="center" wrapText="1"/>
    </xf>
    <xf numFmtId="0" fontId="2" fillId="0" borderId="46" xfId="0" applyFont="1" applyFill="1" applyBorder="1" applyAlignment="1" applyProtection="1">
      <alignment vertical="center"/>
    </xf>
    <xf numFmtId="0" fontId="4" fillId="3" borderId="34" xfId="0" applyFont="1" applyFill="1" applyBorder="1" applyProtection="1"/>
    <xf numFmtId="0" fontId="6" fillId="0" borderId="46" xfId="0" applyFont="1" applyFill="1" applyBorder="1" applyAlignment="1" applyProtection="1">
      <alignment horizontal="left"/>
    </xf>
    <xf numFmtId="0" fontId="6" fillId="0" borderId="48" xfId="0" applyFont="1" applyFill="1" applyBorder="1" applyAlignment="1" applyProtection="1">
      <alignment horizontal="left"/>
    </xf>
    <xf numFmtId="0" fontId="12" fillId="0" borderId="49" xfId="0" applyFont="1" applyFill="1" applyBorder="1" applyAlignment="1" applyProtection="1">
      <alignment horizontal="left" indent="1"/>
    </xf>
    <xf numFmtId="0" fontId="13" fillId="0" borderId="50" xfId="0" applyFont="1" applyFill="1" applyBorder="1" applyAlignment="1" applyProtection="1">
      <alignment vertical="center"/>
    </xf>
    <xf numFmtId="0" fontId="2" fillId="0" borderId="39" xfId="0" applyFont="1" applyFill="1" applyBorder="1" applyAlignment="1" applyProtection="1"/>
    <xf numFmtId="0" fontId="2" fillId="0" borderId="38" xfId="0" applyFont="1" applyFill="1" applyBorder="1" applyAlignment="1" applyProtection="1"/>
    <xf numFmtId="0" fontId="13" fillId="0" borderId="51" xfId="0" applyFont="1" applyFill="1" applyBorder="1" applyAlignment="1" applyProtection="1">
      <alignment vertical="center"/>
    </xf>
    <xf numFmtId="0" fontId="2" fillId="0" borderId="34" xfId="0" applyFont="1" applyFill="1" applyBorder="1" applyAlignment="1" applyProtection="1"/>
    <xf numFmtId="0" fontId="12" fillId="0" borderId="38" xfId="0" applyFont="1" applyFill="1" applyBorder="1" applyAlignment="1" applyProtection="1">
      <alignment horizontal="left" indent="1"/>
    </xf>
    <xf numFmtId="0" fontId="2" fillId="0" borderId="40" xfId="0" applyFont="1" applyFill="1" applyBorder="1" applyAlignment="1" applyProtection="1"/>
    <xf numFmtId="0" fontId="12" fillId="0" borderId="41" xfId="0" applyFont="1" applyFill="1" applyBorder="1" applyAlignment="1" applyProtection="1">
      <alignment horizontal="left" indent="1"/>
    </xf>
    <xf numFmtId="0" fontId="12" fillId="0" borderId="32" xfId="0" applyFont="1" applyFill="1" applyBorder="1" applyAlignment="1" applyProtection="1">
      <alignment horizontal="left" indent="1"/>
    </xf>
    <xf numFmtId="0" fontId="12" fillId="0" borderId="40" xfId="0" applyFont="1" applyFill="1" applyBorder="1" applyAlignment="1" applyProtection="1">
      <alignment horizontal="left" indent="1"/>
    </xf>
    <xf numFmtId="0" fontId="12" fillId="0" borderId="39" xfId="0" applyFont="1" applyFill="1" applyBorder="1" applyAlignment="1" applyProtection="1">
      <alignment horizontal="left" indent="1"/>
    </xf>
    <xf numFmtId="0" fontId="12" fillId="0" borderId="35" xfId="0" applyFont="1" applyFill="1" applyBorder="1" applyProtection="1"/>
    <xf numFmtId="0" fontId="12" fillId="0" borderId="47" xfId="0" applyFont="1" applyFill="1" applyBorder="1" applyProtection="1"/>
    <xf numFmtId="0" fontId="12" fillId="0" borderId="34" xfId="0" applyFont="1" applyFill="1" applyBorder="1" applyAlignment="1" applyProtection="1">
      <alignment horizontal="left" indent="1"/>
    </xf>
    <xf numFmtId="0" fontId="12" fillId="0" borderId="41" xfId="0" applyFont="1" applyFill="1" applyBorder="1" applyProtection="1"/>
    <xf numFmtId="0" fontId="12" fillId="0" borderId="33" xfId="0" applyFont="1" applyFill="1" applyBorder="1" applyProtection="1"/>
    <xf numFmtId="0" fontId="12" fillId="0" borderId="34" xfId="0" applyFont="1" applyFill="1" applyBorder="1" applyProtection="1"/>
    <xf numFmtId="0" fontId="12" fillId="0" borderId="32" xfId="0" applyFont="1" applyFill="1" applyBorder="1" applyProtection="1"/>
    <xf numFmtId="0" fontId="8" fillId="0" borderId="34" xfId="0" applyFont="1" applyBorder="1" applyAlignment="1" applyProtection="1"/>
    <xf numFmtId="0" fontId="15" fillId="0" borderId="34" xfId="0" applyFont="1" applyBorder="1" applyAlignment="1" applyProtection="1"/>
    <xf numFmtId="0" fontId="13" fillId="0" borderId="34" xfId="0" applyFont="1" applyFill="1" applyBorder="1" applyAlignment="1" applyProtection="1">
      <alignment vertical="top"/>
    </xf>
    <xf numFmtId="0" fontId="12" fillId="0" borderId="34" xfId="0" applyFont="1" applyFill="1" applyBorder="1" applyAlignment="1" applyProtection="1">
      <alignment vertical="center"/>
    </xf>
    <xf numFmtId="0" fontId="13" fillId="0" borderId="34" xfId="0" applyFont="1" applyFill="1" applyBorder="1" applyAlignment="1" applyProtection="1">
      <alignment horizontal="center" vertical="top"/>
    </xf>
    <xf numFmtId="0" fontId="13" fillId="0" borderId="27" xfId="0" applyFont="1" applyFill="1" applyBorder="1" applyAlignment="1" applyProtection="1">
      <alignment vertical="top"/>
    </xf>
    <xf numFmtId="0" fontId="13" fillId="0" borderId="52" xfId="0" applyFont="1" applyFill="1" applyBorder="1" applyAlignment="1" applyProtection="1">
      <alignment vertical="center"/>
    </xf>
    <xf numFmtId="0" fontId="10" fillId="0" borderId="34" xfId="0" applyFont="1" applyFill="1" applyBorder="1" applyAlignment="1" applyProtection="1"/>
    <xf numFmtId="0" fontId="8" fillId="0" borderId="48" xfId="0" applyFont="1" applyBorder="1" applyAlignment="1" applyProtection="1"/>
    <xf numFmtId="0" fontId="8" fillId="0" borderId="53" xfId="0" applyFont="1" applyBorder="1" applyAlignment="1" applyProtection="1"/>
    <xf numFmtId="0" fontId="8" fillId="0" borderId="38" xfId="0" applyFont="1" applyBorder="1" applyAlignment="1" applyProtection="1"/>
    <xf numFmtId="0" fontId="18" fillId="0" borderId="34" xfId="0" applyFont="1" applyFill="1" applyBorder="1" applyAlignment="1" applyProtection="1"/>
    <xf numFmtId="0" fontId="12" fillId="0" borderId="34" xfId="0" applyFont="1" applyFill="1" applyBorder="1" applyAlignment="1" applyProtection="1">
      <alignment horizontal="left" vertical="top"/>
    </xf>
    <xf numFmtId="166" fontId="15" fillId="4" borderId="54" xfId="0" applyNumberFormat="1" applyFont="1" applyFill="1" applyBorder="1" applyAlignment="1" applyProtection="1">
      <alignment horizontal="left"/>
    </xf>
    <xf numFmtId="0" fontId="15" fillId="0" borderId="34" xfId="0" applyFont="1" applyFill="1" applyBorder="1" applyAlignment="1" applyProtection="1"/>
    <xf numFmtId="0" fontId="15" fillId="0" borderId="41" xfId="0" applyFont="1" applyBorder="1" applyAlignment="1" applyProtection="1"/>
    <xf numFmtId="0" fontId="15" fillId="0" borderId="45" xfId="0" applyFont="1" applyFill="1" applyBorder="1" applyAlignment="1" applyProtection="1"/>
    <xf numFmtId="0" fontId="15" fillId="0" borderId="53" xfId="0" applyFont="1" applyFill="1" applyBorder="1" applyAlignment="1" applyProtection="1"/>
    <xf numFmtId="0" fontId="15" fillId="0" borderId="38" xfId="0" applyFont="1" applyFill="1" applyBorder="1" applyAlignment="1" applyProtection="1"/>
    <xf numFmtId="0" fontId="15" fillId="0" borderId="48" xfId="0" applyFont="1" applyFill="1" applyBorder="1" applyAlignment="1" applyProtection="1"/>
    <xf numFmtId="166" fontId="15" fillId="0" borderId="33" xfId="0" applyNumberFormat="1" applyFont="1" applyFill="1" applyBorder="1" applyAlignment="1" applyProtection="1">
      <alignment vertical="center"/>
    </xf>
    <xf numFmtId="166" fontId="15" fillId="0" borderId="51" xfId="0" applyNumberFormat="1" applyFont="1" applyFill="1" applyBorder="1" applyAlignment="1" applyProtection="1">
      <alignment vertical="center"/>
    </xf>
    <xf numFmtId="0" fontId="12" fillId="0" borderId="34" xfId="0" applyFont="1" applyFill="1" applyBorder="1" applyAlignment="1" applyProtection="1"/>
    <xf numFmtId="0" fontId="15" fillId="0" borderId="55" xfId="0" applyFont="1" applyBorder="1" applyAlignment="1" applyProtection="1"/>
    <xf numFmtId="0" fontId="15" fillId="0" borderId="46" xfId="0" applyFont="1" applyBorder="1" applyAlignment="1" applyProtection="1"/>
    <xf numFmtId="0" fontId="13" fillId="0" borderId="13" xfId="0" applyFont="1" applyBorder="1" applyAlignment="1" applyProtection="1">
      <alignment horizontal="center" vertical="center"/>
      <protection locked="0"/>
    </xf>
    <xf numFmtId="0" fontId="15" fillId="0" borderId="45" xfId="0" applyFont="1" applyBorder="1" applyAlignment="1" applyProtection="1"/>
    <xf numFmtId="0" fontId="15" fillId="0" borderId="46" xfId="0" applyFont="1" applyFill="1" applyBorder="1" applyAlignment="1" applyProtection="1"/>
    <xf numFmtId="0" fontId="8" fillId="0" borderId="33" xfId="0" applyFont="1" applyBorder="1" applyAlignment="1" applyProtection="1"/>
    <xf numFmtId="0" fontId="4" fillId="0" borderId="56" xfId="0" applyFont="1" applyFill="1" applyBorder="1" applyAlignment="1" applyProtection="1">
      <alignment vertical="center"/>
    </xf>
    <xf numFmtId="0" fontId="4" fillId="0" borderId="56" xfId="0" applyFont="1" applyBorder="1" applyAlignment="1" applyProtection="1">
      <alignment vertical="center"/>
    </xf>
    <xf numFmtId="165" fontId="4" fillId="0" borderId="47" xfId="1" applyNumberFormat="1" applyFont="1" applyBorder="1" applyAlignment="1" applyProtection="1">
      <alignment vertical="center"/>
    </xf>
    <xf numFmtId="0" fontId="21" fillId="0" borderId="34" xfId="0" applyFont="1" applyBorder="1" applyAlignment="1" applyProtection="1">
      <alignment wrapText="1"/>
    </xf>
    <xf numFmtId="165" fontId="4" fillId="0" borderId="34" xfId="1" applyNumberFormat="1" applyFont="1" applyBorder="1" applyProtection="1"/>
    <xf numFmtId="0" fontId="4" fillId="0" borderId="51" xfId="0" applyFont="1" applyBorder="1" applyProtection="1"/>
    <xf numFmtId="0" fontId="4" fillId="0" borderId="34" xfId="0" applyFont="1" applyBorder="1" applyProtection="1"/>
    <xf numFmtId="0" fontId="4" fillId="0" borderId="33" xfId="0" applyFont="1" applyBorder="1" applyProtection="1"/>
    <xf numFmtId="0" fontId="4" fillId="0" borderId="51" xfId="0" applyFont="1" applyFill="1" applyBorder="1" applyProtection="1"/>
    <xf numFmtId="0" fontId="4" fillId="0" borderId="39" xfId="0" applyFont="1" applyBorder="1" applyProtection="1"/>
    <xf numFmtId="0" fontId="4" fillId="0" borderId="35" xfId="0" applyFont="1" applyFill="1" applyBorder="1" applyProtection="1"/>
    <xf numFmtId="0" fontId="4" fillId="0" borderId="36" xfId="0" applyFont="1" applyBorder="1" applyProtection="1"/>
    <xf numFmtId="0" fontId="4" fillId="0" borderId="40" xfId="0" applyFont="1" applyBorder="1" applyProtection="1"/>
    <xf numFmtId="0" fontId="6" fillId="0" borderId="35" xfId="0" applyFont="1" applyFill="1" applyBorder="1" applyProtection="1"/>
    <xf numFmtId="0" fontId="21" fillId="0" borderId="32" xfId="0" applyFont="1" applyBorder="1" applyAlignment="1" applyProtection="1">
      <alignment wrapText="1"/>
    </xf>
    <xf numFmtId="0" fontId="4" fillId="0" borderId="32" xfId="0" applyFont="1" applyBorder="1" applyAlignment="1" applyProtection="1">
      <alignment vertical="center"/>
    </xf>
    <xf numFmtId="165" fontId="4" fillId="0" borderId="32" xfId="1" applyNumberFormat="1" applyFont="1" applyBorder="1" applyProtection="1"/>
    <xf numFmtId="0" fontId="16" fillId="0" borderId="34" xfId="0" applyFont="1" applyBorder="1" applyAlignment="1" applyProtection="1">
      <alignment wrapText="1"/>
    </xf>
    <xf numFmtId="0" fontId="0" fillId="0" borderId="34" xfId="0" applyBorder="1" applyProtection="1"/>
    <xf numFmtId="0" fontId="0" fillId="0" borderId="34" xfId="0" applyBorder="1" applyAlignment="1" applyProtection="1">
      <alignment vertical="center"/>
    </xf>
    <xf numFmtId="0" fontId="11" fillId="0" borderId="38" xfId="0" applyFont="1" applyFill="1" applyBorder="1" applyAlignment="1" applyProtection="1">
      <alignment horizontal="center"/>
    </xf>
    <xf numFmtId="0" fontId="10" fillId="0" borderId="48" xfId="0" applyFont="1" applyFill="1" applyBorder="1" applyAlignment="1" applyProtection="1"/>
    <xf numFmtId="0" fontId="13" fillId="0" borderId="52" xfId="0" applyFont="1" applyFill="1" applyBorder="1" applyAlignment="1" applyProtection="1">
      <alignment vertical="top"/>
    </xf>
    <xf numFmtId="0" fontId="13" fillId="0" borderId="57" xfId="0" applyFont="1" applyFill="1" applyBorder="1" applyAlignment="1" applyProtection="1">
      <alignment vertical="center"/>
    </xf>
    <xf numFmtId="0" fontId="12" fillId="0" borderId="52" xfId="0" applyFont="1" applyFill="1" applyBorder="1" applyProtection="1"/>
    <xf numFmtId="0" fontId="12" fillId="0" borderId="58" xfId="0" applyFont="1" applyFill="1" applyBorder="1" applyProtection="1"/>
    <xf numFmtId="0" fontId="12" fillId="0" borderId="27" xfId="0" applyFont="1" applyFill="1" applyBorder="1" applyProtection="1"/>
    <xf numFmtId="0" fontId="12" fillId="0" borderId="59" xfId="0" applyFont="1" applyFill="1" applyBorder="1" applyProtection="1"/>
    <xf numFmtId="0" fontId="12" fillId="0" borderId="60" xfId="0" applyFont="1" applyFill="1" applyBorder="1" applyProtection="1"/>
    <xf numFmtId="0" fontId="12" fillId="0" borderId="61" xfId="0" applyFont="1" applyFill="1" applyBorder="1" applyProtection="1"/>
    <xf numFmtId="0" fontId="12" fillId="0" borderId="57" xfId="0" applyFont="1" applyFill="1" applyBorder="1" applyProtection="1"/>
    <xf numFmtId="0" fontId="11" fillId="0" borderId="48" xfId="0" applyFont="1" applyFill="1" applyBorder="1" applyAlignment="1" applyProtection="1">
      <alignment horizontal="center"/>
    </xf>
    <xf numFmtId="0" fontId="12" fillId="0" borderId="62" xfId="0" applyFont="1" applyFill="1" applyBorder="1" applyAlignment="1" applyProtection="1"/>
    <xf numFmtId="0" fontId="12" fillId="0" borderId="51" xfId="0" applyFont="1" applyBorder="1" applyAlignment="1" applyProtection="1"/>
    <xf numFmtId="0" fontId="12" fillId="0" borderId="48" xfId="0" applyFont="1" applyBorder="1" applyAlignment="1" applyProtection="1"/>
    <xf numFmtId="0" fontId="12" fillId="0" borderId="35" xfId="0" applyFont="1" applyFill="1" applyBorder="1" applyAlignment="1" applyProtection="1"/>
    <xf numFmtId="0" fontId="12" fillId="0" borderId="32" xfId="0" applyFont="1" applyFill="1" applyBorder="1" applyAlignment="1" applyProtection="1"/>
    <xf numFmtId="0" fontId="10" fillId="0" borderId="32" xfId="0" applyFont="1" applyFill="1" applyBorder="1" applyAlignment="1" applyProtection="1"/>
    <xf numFmtId="4" fontId="12" fillId="0" borderId="34" xfId="0" applyNumberFormat="1" applyFont="1" applyFill="1" applyBorder="1" applyAlignment="1" applyProtection="1">
      <alignment horizontal="right" vertical="center"/>
    </xf>
    <xf numFmtId="0" fontId="12" fillId="0" borderId="34" xfId="0" applyFont="1" applyBorder="1" applyAlignment="1" applyProtection="1"/>
    <xf numFmtId="0" fontId="2" fillId="0" borderId="34" xfId="0" applyFont="1" applyBorder="1" applyAlignment="1" applyProtection="1"/>
    <xf numFmtId="0" fontId="2" fillId="0" borderId="48" xfId="0" applyFont="1" applyBorder="1" applyAlignment="1" applyProtection="1"/>
    <xf numFmtId="0" fontId="12" fillId="0" borderId="33" xfId="0" applyFont="1" applyBorder="1" applyAlignment="1" applyProtection="1"/>
    <xf numFmtId="0" fontId="12" fillId="0" borderId="33" xfId="0" applyFont="1" applyFill="1" applyBorder="1" applyAlignment="1" applyProtection="1"/>
    <xf numFmtId="0" fontId="12" fillId="0" borderId="48" xfId="0" applyFont="1" applyFill="1" applyBorder="1" applyAlignment="1" applyProtection="1"/>
    <xf numFmtId="0" fontId="2" fillId="0" borderId="63" xfId="0" applyFont="1" applyBorder="1" applyAlignment="1" applyProtection="1"/>
    <xf numFmtId="0" fontId="12" fillId="0" borderId="34" xfId="0" applyFont="1" applyBorder="1" applyAlignment="1" applyProtection="1">
      <alignment vertical="center"/>
    </xf>
    <xf numFmtId="0" fontId="20" fillId="0" borderId="34" xfId="0" quotePrefix="1" applyFont="1" applyBorder="1" applyAlignment="1" applyProtection="1"/>
    <xf numFmtId="0" fontId="12" fillId="0" borderId="47" xfId="0" applyFont="1" applyBorder="1" applyAlignment="1" applyProtection="1"/>
    <xf numFmtId="0" fontId="12" fillId="0" borderId="64" xfId="0" applyFont="1" applyBorder="1" applyAlignment="1" applyProtection="1"/>
    <xf numFmtId="0" fontId="12" fillId="0" borderId="62" xfId="0" applyFont="1" applyBorder="1" applyAlignment="1" applyProtection="1"/>
    <xf numFmtId="166" fontId="12" fillId="4" borderId="54" xfId="0" applyNumberFormat="1" applyFont="1" applyFill="1" applyBorder="1" applyAlignment="1" applyProtection="1">
      <alignment horizontal="left"/>
    </xf>
    <xf numFmtId="0" fontId="11" fillId="0" borderId="32" xfId="0" applyFont="1" applyFill="1" applyBorder="1" applyAlignment="1" applyProtection="1">
      <alignment horizontal="center"/>
    </xf>
    <xf numFmtId="0" fontId="12" fillId="0" borderId="45" xfId="0" applyFont="1" applyFill="1" applyBorder="1" applyAlignment="1" applyProtection="1"/>
    <xf numFmtId="0" fontId="0" fillId="0" borderId="0" xfId="0"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2" fillId="3" borderId="0" xfId="0" applyFont="1" applyFill="1" applyBorder="1" applyAlignment="1" applyProtection="1">
      <alignment vertical="center"/>
    </xf>
    <xf numFmtId="0" fontId="13" fillId="3" borderId="34" xfId="0" applyFont="1" applyFill="1" applyBorder="1" applyAlignment="1" applyProtection="1">
      <alignment vertical="top"/>
    </xf>
    <xf numFmtId="0" fontId="12" fillId="3" borderId="34" xfId="0" applyFont="1" applyFill="1" applyBorder="1" applyAlignment="1" applyProtection="1">
      <alignment horizontal="center" vertical="center"/>
    </xf>
    <xf numFmtId="0" fontId="13" fillId="3" borderId="0" xfId="0" applyFont="1" applyFill="1" applyBorder="1" applyAlignment="1" applyProtection="1">
      <alignment horizontal="center" vertical="top"/>
    </xf>
    <xf numFmtId="0" fontId="13" fillId="3" borderId="65" xfId="0" applyFont="1" applyFill="1" applyBorder="1" applyAlignment="1" applyProtection="1">
      <alignment horizontal="center" vertical="top"/>
    </xf>
    <xf numFmtId="0" fontId="13" fillId="3" borderId="41" xfId="0" applyFont="1" applyFill="1" applyBorder="1" applyAlignment="1" applyProtection="1">
      <alignment vertical="top"/>
    </xf>
    <xf numFmtId="0" fontId="13" fillId="3" borderId="45" xfId="0" applyFont="1" applyFill="1" applyBorder="1" applyAlignment="1" applyProtection="1">
      <alignment vertical="top"/>
    </xf>
    <xf numFmtId="0" fontId="8" fillId="3" borderId="38" xfId="0" applyFont="1" applyFill="1" applyBorder="1" applyAlignment="1" applyProtection="1"/>
    <xf numFmtId="0" fontId="8" fillId="3" borderId="0" xfId="0" applyFont="1" applyFill="1" applyBorder="1" applyAlignment="1" applyProtection="1"/>
    <xf numFmtId="0" fontId="8" fillId="3" borderId="34" xfId="0" applyFont="1" applyFill="1" applyBorder="1" applyAlignment="1" applyProtection="1"/>
    <xf numFmtId="0" fontId="12" fillId="3" borderId="38" xfId="0" applyFont="1" applyFill="1" applyBorder="1" applyAlignment="1" applyProtection="1">
      <alignment horizontal="left" vertical="center"/>
    </xf>
    <xf numFmtId="0" fontId="15" fillId="3" borderId="0" xfId="0" applyFont="1" applyFill="1" applyBorder="1" applyAlignment="1" applyProtection="1"/>
    <xf numFmtId="0" fontId="20" fillId="3" borderId="0" xfId="0" quotePrefix="1" applyFont="1" applyFill="1" applyBorder="1" applyAlignment="1" applyProtection="1"/>
    <xf numFmtId="0" fontId="15" fillId="3" borderId="35" xfId="0" applyFont="1" applyFill="1" applyBorder="1" applyAlignment="1" applyProtection="1"/>
    <xf numFmtId="0" fontId="15" fillId="3" borderId="34" xfId="0" applyFont="1" applyFill="1" applyBorder="1" applyAlignment="1" applyProtection="1"/>
    <xf numFmtId="0" fontId="12" fillId="3" borderId="34" xfId="0" applyFont="1" applyFill="1" applyBorder="1" applyAlignment="1" applyProtection="1"/>
    <xf numFmtId="0" fontId="8" fillId="0" borderId="66" xfId="0" applyFont="1" applyBorder="1" applyAlignment="1" applyProtection="1"/>
    <xf numFmtId="0" fontId="8" fillId="0" borderId="67" xfId="0" applyFont="1" applyBorder="1" applyAlignment="1" applyProtection="1"/>
    <xf numFmtId="0" fontId="8" fillId="3" borderId="48" xfId="0" applyFont="1" applyFill="1" applyBorder="1" applyAlignment="1" applyProtection="1"/>
    <xf numFmtId="0" fontId="15" fillId="3" borderId="33" xfId="0" applyFont="1" applyFill="1" applyBorder="1" applyAlignment="1" applyProtection="1"/>
    <xf numFmtId="0" fontId="12"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167" fontId="15" fillId="3" borderId="0" xfId="0" applyNumberFormat="1" applyFont="1" applyFill="1" applyBorder="1" applyAlignment="1" applyProtection="1">
      <alignment horizontal="right" vertical="center"/>
    </xf>
    <xf numFmtId="167" fontId="15" fillId="3" borderId="68" xfId="0" applyNumberFormat="1" applyFont="1" applyFill="1" applyBorder="1" applyAlignment="1" applyProtection="1">
      <alignment horizontal="right" vertical="center"/>
    </xf>
    <xf numFmtId="167" fontId="15" fillId="3" borderId="46" xfId="0" applyNumberFormat="1" applyFont="1" applyFill="1" applyBorder="1" applyAlignment="1" applyProtection="1">
      <alignment horizontal="right" vertical="center"/>
    </xf>
    <xf numFmtId="0" fontId="12" fillId="0" borderId="51" xfId="0" applyFont="1" applyFill="1" applyBorder="1" applyAlignment="1" applyProtection="1">
      <alignment horizontal="center" vertical="center"/>
    </xf>
    <xf numFmtId="0" fontId="12" fillId="3" borderId="33" xfId="0" applyFont="1" applyFill="1" applyBorder="1" applyAlignment="1" applyProtection="1"/>
    <xf numFmtId="0" fontId="12" fillId="0" borderId="45" xfId="0" applyFont="1" applyFill="1" applyBorder="1" applyAlignment="1" applyProtection="1">
      <alignment vertical="center"/>
    </xf>
    <xf numFmtId="0" fontId="41" fillId="3" borderId="0" xfId="0" applyFont="1" applyFill="1" applyBorder="1" applyAlignment="1" applyProtection="1">
      <alignment horizontal="center"/>
    </xf>
    <xf numFmtId="0" fontId="11" fillId="2" borderId="54" xfId="0" applyFont="1" applyFill="1" applyBorder="1" applyAlignment="1" applyProtection="1">
      <alignment vertical="center"/>
    </xf>
    <xf numFmtId="0" fontId="11" fillId="2" borderId="16" xfId="0" applyFont="1" applyFill="1" applyBorder="1" applyAlignment="1" applyProtection="1">
      <alignment vertical="center"/>
    </xf>
    <xf numFmtId="0" fontId="11" fillId="3" borderId="34" xfId="0" applyFont="1" applyFill="1" applyBorder="1" applyAlignment="1" applyProtection="1">
      <alignment horizontal="center"/>
    </xf>
    <xf numFmtId="0" fontId="10" fillId="3" borderId="34" xfId="0" applyFont="1" applyFill="1" applyBorder="1" applyAlignment="1" applyProtection="1"/>
    <xf numFmtId="0" fontId="15" fillId="3" borderId="38" xfId="0" applyFont="1" applyFill="1" applyBorder="1" applyAlignment="1" applyProtection="1"/>
    <xf numFmtId="0" fontId="15" fillId="3" borderId="48" xfId="0" applyFont="1" applyFill="1" applyBorder="1" applyAlignment="1" applyProtection="1"/>
    <xf numFmtId="0" fontId="15" fillId="3" borderId="53" xfId="0" applyFont="1" applyFill="1" applyBorder="1" applyAlignment="1" applyProtection="1"/>
    <xf numFmtId="166" fontId="15" fillId="3" borderId="0" xfId="0" applyNumberFormat="1" applyFont="1" applyFill="1" applyBorder="1" applyAlignment="1" applyProtection="1">
      <alignment horizontal="left"/>
    </xf>
    <xf numFmtId="0" fontId="15" fillId="3" borderId="41" xfId="0" applyFont="1" applyFill="1" applyBorder="1" applyAlignment="1" applyProtection="1"/>
    <xf numFmtId="0" fontId="18" fillId="6" borderId="4" xfId="0" applyFont="1" applyFill="1" applyBorder="1" applyAlignment="1" applyProtection="1">
      <alignment horizontal="left" vertical="center"/>
    </xf>
    <xf numFmtId="0" fontId="12" fillId="3" borderId="1" xfId="0" applyFont="1" applyFill="1" applyBorder="1" applyAlignment="1" applyProtection="1">
      <alignment horizontal="center" wrapText="1"/>
      <protection locked="0"/>
    </xf>
    <xf numFmtId="0" fontId="12" fillId="4" borderId="1" xfId="0" applyFont="1" applyFill="1" applyBorder="1" applyAlignment="1" applyProtection="1">
      <alignment horizontal="center" wrapText="1"/>
    </xf>
    <xf numFmtId="165" fontId="12" fillId="0" borderId="46" xfId="1" applyNumberFormat="1" applyFont="1" applyFill="1" applyBorder="1" applyAlignment="1" applyProtection="1">
      <alignment vertical="center"/>
    </xf>
    <xf numFmtId="0" fontId="12" fillId="0" borderId="46" xfId="0" applyFont="1" applyFill="1" applyBorder="1" applyAlignment="1" applyProtection="1">
      <alignment vertical="center"/>
    </xf>
    <xf numFmtId="0" fontId="9" fillId="0" borderId="69" xfId="0" applyFont="1" applyFill="1" applyBorder="1" applyAlignment="1" applyProtection="1">
      <alignment horizontal="center" vertical="center" wrapText="1"/>
    </xf>
    <xf numFmtId="0" fontId="12" fillId="3" borderId="0" xfId="0" applyFont="1" applyFill="1" applyBorder="1" applyAlignment="1" applyProtection="1">
      <alignment horizontal="right" wrapText="1"/>
    </xf>
    <xf numFmtId="0" fontId="8" fillId="0" borderId="38" xfId="0" applyFont="1" applyFill="1" applyBorder="1" applyAlignment="1" applyProtection="1"/>
    <xf numFmtId="0" fontId="12" fillId="4" borderId="4" xfId="0" applyFont="1" applyFill="1" applyBorder="1" applyAlignment="1" applyProtection="1">
      <alignment horizontal="left" vertical="center" indent="1"/>
    </xf>
    <xf numFmtId="166" fontId="12" fillId="4" borderId="70" xfId="0" applyNumberFormat="1" applyFont="1" applyFill="1" applyBorder="1" applyAlignment="1" applyProtection="1">
      <alignment horizontal="left" vertical="center" indent="1"/>
    </xf>
    <xf numFmtId="0" fontId="21" fillId="3" borderId="0" xfId="0" applyFont="1" applyFill="1" applyAlignment="1" applyProtection="1">
      <alignment wrapText="1"/>
    </xf>
    <xf numFmtId="166" fontId="15" fillId="0" borderId="45" xfId="0" applyNumberFormat="1" applyFont="1" applyFill="1" applyBorder="1" applyAlignment="1" applyProtection="1">
      <alignment horizontal="left"/>
    </xf>
    <xf numFmtId="166" fontId="15" fillId="3" borderId="60" xfId="0" applyNumberFormat="1" applyFont="1" applyFill="1" applyBorder="1" applyAlignment="1" applyProtection="1">
      <alignment horizontal="left"/>
    </xf>
    <xf numFmtId="0" fontId="12" fillId="3" borderId="33" xfId="0" applyFont="1" applyFill="1" applyBorder="1" applyAlignment="1" applyProtection="1">
      <alignment vertical="center"/>
    </xf>
    <xf numFmtId="0" fontId="42" fillId="0" borderId="34" xfId="0" applyFont="1" applyBorder="1" applyAlignment="1" applyProtection="1"/>
    <xf numFmtId="167" fontId="12" fillId="4" borderId="28" xfId="0" applyNumberFormat="1" applyFont="1" applyFill="1" applyBorder="1" applyAlignment="1" applyProtection="1">
      <alignment horizontal="right" vertical="center"/>
    </xf>
    <xf numFmtId="0" fontId="15" fillId="4" borderId="71" xfId="0" applyNumberFormat="1" applyFont="1" applyFill="1" applyBorder="1" applyAlignment="1" applyProtection="1">
      <alignment horizontal="center" vertical="center" wrapText="1"/>
    </xf>
    <xf numFmtId="0" fontId="12" fillId="0" borderId="60" xfId="0" applyFont="1" applyFill="1" applyBorder="1" applyAlignment="1" applyProtection="1"/>
    <xf numFmtId="0" fontId="12" fillId="0" borderId="27" xfId="0" applyFont="1" applyFill="1" applyBorder="1" applyAlignment="1" applyProtection="1"/>
    <xf numFmtId="0" fontId="12" fillId="0" borderId="72" xfId="0" applyFont="1" applyFill="1" applyBorder="1" applyAlignment="1" applyProtection="1"/>
    <xf numFmtId="0" fontId="12" fillId="0" borderId="73" xfId="0" applyFont="1" applyFill="1" applyBorder="1" applyAlignment="1" applyProtection="1">
      <alignment horizontal="center"/>
    </xf>
    <xf numFmtId="0" fontId="13" fillId="0" borderId="74" xfId="0" applyFont="1" applyFill="1" applyBorder="1" applyAlignment="1" applyProtection="1">
      <alignment horizontal="center" vertical="center"/>
      <protection locked="0"/>
    </xf>
    <xf numFmtId="167" fontId="12" fillId="4" borderId="75" xfId="0" applyNumberFormat="1" applyFont="1" applyFill="1" applyBorder="1" applyAlignment="1" applyProtection="1">
      <alignment horizontal="right" vertical="center"/>
    </xf>
    <xf numFmtId="0" fontId="12" fillId="3" borderId="76" xfId="0" applyFont="1" applyFill="1" applyBorder="1" applyAlignment="1" applyProtection="1">
      <alignment horizontal="left" vertical="center"/>
    </xf>
    <xf numFmtId="0" fontId="12" fillId="3" borderId="49" xfId="0" applyFont="1" applyFill="1" applyBorder="1" applyAlignment="1" applyProtection="1">
      <alignment horizontal="left" vertical="center"/>
    </xf>
    <xf numFmtId="167" fontId="12" fillId="3" borderId="49" xfId="0" applyNumberFormat="1" applyFont="1" applyFill="1" applyBorder="1" applyAlignment="1" applyProtection="1">
      <alignment horizontal="right" vertical="center"/>
    </xf>
    <xf numFmtId="0" fontId="13" fillId="0" borderId="77" xfId="0" applyFont="1" applyFill="1" applyBorder="1" applyAlignment="1" applyProtection="1">
      <alignment horizontal="center" vertical="center"/>
      <protection locked="0"/>
    </xf>
    <xf numFmtId="3" fontId="11" fillId="0" borderId="34" xfId="0" applyNumberFormat="1" applyFont="1" applyFill="1" applyBorder="1" applyAlignment="1" applyProtection="1">
      <alignment horizontal="center"/>
    </xf>
    <xf numFmtId="3" fontId="13" fillId="0" borderId="38" xfId="0" applyNumberFormat="1" applyFont="1" applyFill="1" applyBorder="1" applyAlignment="1" applyProtection="1">
      <alignment vertical="top"/>
    </xf>
    <xf numFmtId="3" fontId="13" fillId="0" borderId="34" xfId="0" applyNumberFormat="1" applyFont="1" applyFill="1" applyBorder="1" applyAlignment="1" applyProtection="1">
      <alignment vertical="top"/>
    </xf>
    <xf numFmtId="3" fontId="13" fillId="0" borderId="41" xfId="0" applyNumberFormat="1" applyFont="1" applyFill="1" applyBorder="1" applyAlignment="1" applyProtection="1">
      <alignment vertical="top"/>
    </xf>
    <xf numFmtId="3" fontId="12" fillId="0" borderId="54" xfId="0" applyNumberFormat="1" applyFont="1" applyFill="1" applyBorder="1" applyAlignment="1" applyProtection="1">
      <alignment horizontal="right"/>
      <protection locked="0"/>
    </xf>
    <xf numFmtId="3" fontId="13" fillId="4" borderId="54" xfId="0" applyNumberFormat="1" applyFont="1" applyFill="1" applyBorder="1" applyAlignment="1" applyProtection="1">
      <alignment horizontal="right"/>
    </xf>
    <xf numFmtId="3" fontId="13" fillId="0" borderId="0" xfId="0" applyNumberFormat="1" applyFont="1" applyFill="1" applyBorder="1" applyAlignment="1" applyProtection="1">
      <alignment vertical="top"/>
    </xf>
    <xf numFmtId="3" fontId="13" fillId="0" borderId="57" xfId="0" applyNumberFormat="1" applyFont="1" applyFill="1" applyBorder="1" applyAlignment="1" applyProtection="1">
      <alignment vertical="top"/>
    </xf>
    <xf numFmtId="3" fontId="12" fillId="0" borderId="33" xfId="0" applyNumberFormat="1" applyFont="1" applyFill="1" applyBorder="1" applyProtection="1"/>
    <xf numFmtId="3" fontId="12" fillId="0" borderId="34" xfId="0" applyNumberFormat="1" applyFont="1" applyFill="1" applyBorder="1" applyProtection="1"/>
    <xf numFmtId="3" fontId="12" fillId="0" borderId="0" xfId="0" applyNumberFormat="1" applyFont="1" applyFill="1" applyBorder="1" applyAlignment="1" applyProtection="1">
      <alignment horizontal="left"/>
    </xf>
    <xf numFmtId="3" fontId="12" fillId="4" borderId="54" xfId="0" applyNumberFormat="1" applyFont="1" applyFill="1" applyBorder="1" applyAlignment="1" applyProtection="1">
      <alignment horizontal="right"/>
    </xf>
    <xf numFmtId="3" fontId="12" fillId="3" borderId="54" xfId="0" applyNumberFormat="1" applyFont="1" applyFill="1" applyBorder="1" applyAlignment="1" applyProtection="1">
      <alignment horizontal="right"/>
      <protection locked="0"/>
    </xf>
    <xf numFmtId="3" fontId="13" fillId="3" borderId="34" xfId="0" applyNumberFormat="1" applyFont="1" applyFill="1" applyBorder="1" applyAlignment="1" applyProtection="1">
      <alignment vertical="top"/>
    </xf>
    <xf numFmtId="3" fontId="12" fillId="0" borderId="52" xfId="0" applyNumberFormat="1" applyFont="1" applyFill="1" applyBorder="1" applyProtection="1"/>
    <xf numFmtId="3" fontId="13" fillId="4" borderId="78" xfId="0" applyNumberFormat="1" applyFont="1" applyFill="1" applyBorder="1" applyAlignment="1" applyProtection="1">
      <alignment horizontal="right"/>
    </xf>
    <xf numFmtId="3" fontId="12" fillId="0" borderId="79" xfId="0" applyNumberFormat="1" applyFont="1" applyFill="1" applyBorder="1" applyAlignment="1" applyProtection="1">
      <alignment horizontal="right"/>
      <protection locked="0"/>
    </xf>
    <xf numFmtId="3" fontId="12" fillId="0" borderId="48" xfId="0" applyNumberFormat="1" applyFont="1" applyFill="1" applyBorder="1" applyAlignment="1" applyProtection="1">
      <alignment horizontal="right"/>
    </xf>
    <xf numFmtId="3" fontId="12" fillId="0" borderId="34" xfId="0" applyNumberFormat="1" applyFont="1" applyFill="1" applyBorder="1" applyAlignment="1" applyProtection="1">
      <alignment horizontal="left"/>
    </xf>
    <xf numFmtId="3" fontId="12" fillId="0" borderId="32" xfId="0" applyNumberFormat="1" applyFont="1" applyFill="1" applyBorder="1" applyAlignment="1" applyProtection="1"/>
    <xf numFmtId="3" fontId="12" fillId="0" borderId="34" xfId="0" applyNumberFormat="1" applyFont="1" applyFill="1" applyBorder="1" applyAlignment="1" applyProtection="1"/>
    <xf numFmtId="3" fontId="12" fillId="0" borderId="52" xfId="0" applyNumberFormat="1" applyFont="1" applyFill="1" applyBorder="1" applyAlignment="1" applyProtection="1"/>
    <xf numFmtId="3" fontId="12" fillId="0" borderId="34" xfId="0" applyNumberFormat="1" applyFont="1" applyFill="1" applyBorder="1" applyAlignment="1" applyProtection="1">
      <alignment horizontal="left" vertical="center"/>
    </xf>
    <xf numFmtId="3" fontId="12" fillId="0" borderId="59" xfId="0" applyNumberFormat="1" applyFont="1" applyFill="1" applyBorder="1" applyAlignment="1" applyProtection="1">
      <alignment horizontal="center"/>
    </xf>
    <xf numFmtId="3" fontId="12" fillId="0" borderId="62" xfId="0" applyNumberFormat="1" applyFont="1" applyFill="1" applyBorder="1" applyAlignment="1" applyProtection="1">
      <alignment horizontal="right"/>
      <protection locked="0"/>
    </xf>
    <xf numFmtId="3" fontId="12" fillId="0" borderId="32" xfId="0" applyNumberFormat="1" applyFont="1" applyFill="1" applyBorder="1" applyAlignment="1" applyProtection="1">
      <alignment horizontal="left"/>
    </xf>
    <xf numFmtId="3" fontId="12" fillId="0" borderId="35" xfId="0" applyNumberFormat="1" applyFont="1" applyFill="1" applyBorder="1" applyAlignment="1" applyProtection="1"/>
    <xf numFmtId="3" fontId="12" fillId="0" borderId="33" xfId="0" applyNumberFormat="1" applyFont="1" applyFill="1" applyBorder="1" applyAlignment="1" applyProtection="1"/>
    <xf numFmtId="0" fontId="12" fillId="0" borderId="53" xfId="0" applyFont="1" applyFill="1" applyBorder="1" applyAlignment="1" applyProtection="1"/>
    <xf numFmtId="3" fontId="12" fillId="0" borderId="45" xfId="0" applyNumberFormat="1" applyFont="1" applyFill="1" applyBorder="1" applyAlignment="1" applyProtection="1"/>
    <xf numFmtId="3" fontId="12" fillId="0" borderId="46" xfId="0" applyNumberFormat="1" applyFont="1" applyFill="1" applyBorder="1" applyAlignment="1" applyProtection="1">
      <alignment horizontal="left"/>
    </xf>
    <xf numFmtId="3" fontId="12" fillId="0" borderId="48" xfId="0" applyNumberFormat="1" applyFont="1" applyFill="1" applyBorder="1" applyAlignment="1" applyProtection="1"/>
    <xf numFmtId="3" fontId="12" fillId="0" borderId="0" xfId="0" applyNumberFormat="1" applyFont="1" applyFill="1" applyBorder="1" applyAlignment="1" applyProtection="1"/>
    <xf numFmtId="3" fontId="15" fillId="4" borderId="80" xfId="0" applyNumberFormat="1" applyFont="1" applyFill="1" applyBorder="1" applyAlignment="1" applyProtection="1">
      <alignment horizontal="right"/>
    </xf>
    <xf numFmtId="3" fontId="15" fillId="3" borderId="27" xfId="0" applyNumberFormat="1" applyFont="1" applyFill="1" applyBorder="1" applyAlignment="1" applyProtection="1">
      <alignment horizontal="right"/>
    </xf>
    <xf numFmtId="3" fontId="15" fillId="3" borderId="54" xfId="0" applyNumberFormat="1" applyFont="1" applyFill="1" applyBorder="1" applyAlignment="1" applyProtection="1">
      <alignment horizontal="right"/>
      <protection locked="0"/>
    </xf>
    <xf numFmtId="3" fontId="15" fillId="0" borderId="0" xfId="0" applyNumberFormat="1" applyFont="1" applyFill="1" applyBorder="1" applyAlignment="1" applyProtection="1"/>
    <xf numFmtId="3" fontId="15" fillId="4" borderId="81" xfId="0" applyNumberFormat="1" applyFont="1" applyFill="1" applyBorder="1" applyAlignment="1" applyProtection="1">
      <alignment horizontal="right"/>
    </xf>
    <xf numFmtId="3" fontId="15" fillId="4" borderId="62" xfId="0" applyNumberFormat="1" applyFont="1" applyFill="1" applyBorder="1" applyAlignment="1" applyProtection="1">
      <alignment horizontal="right"/>
    </xf>
    <xf numFmtId="3" fontId="15" fillId="0" borderId="34" xfId="0" applyNumberFormat="1" applyFont="1" applyFill="1" applyBorder="1" applyAlignment="1" applyProtection="1"/>
    <xf numFmtId="3" fontId="15" fillId="3" borderId="60" xfId="0" applyNumberFormat="1" applyFont="1" applyFill="1" applyBorder="1" applyAlignment="1" applyProtection="1">
      <alignment horizontal="right"/>
    </xf>
    <xf numFmtId="3" fontId="15" fillId="3" borderId="34" xfId="0" applyNumberFormat="1" applyFont="1" applyFill="1" applyBorder="1" applyAlignment="1" applyProtection="1"/>
    <xf numFmtId="3" fontId="15" fillId="0" borderId="61" xfId="0" applyNumberFormat="1" applyFont="1" applyFill="1" applyBorder="1" applyAlignment="1" applyProtection="1">
      <alignment horizontal="center"/>
    </xf>
    <xf numFmtId="3" fontId="15" fillId="0" borderId="32" xfId="0" applyNumberFormat="1" applyFont="1" applyFill="1" applyBorder="1" applyAlignment="1" applyProtection="1"/>
    <xf numFmtId="3" fontId="15" fillId="0" borderId="47" xfId="0" applyNumberFormat="1" applyFont="1" applyFill="1" applyBorder="1" applyAlignment="1" applyProtection="1"/>
    <xf numFmtId="3" fontId="15" fillId="3" borderId="32" xfId="0" applyNumberFormat="1" applyFont="1" applyFill="1" applyBorder="1" applyAlignment="1" applyProtection="1"/>
    <xf numFmtId="3" fontId="15" fillId="3" borderId="0" xfId="0" applyNumberFormat="1" applyFont="1" applyFill="1" applyBorder="1" applyAlignment="1" applyProtection="1"/>
    <xf numFmtId="3" fontId="54" fillId="0" borderId="47" xfId="0" applyNumberFormat="1" applyFont="1" applyFill="1" applyBorder="1" applyAlignment="1" applyProtection="1">
      <alignment horizontal="center" wrapText="1"/>
    </xf>
    <xf numFmtId="0" fontId="15" fillId="3" borderId="0" xfId="0" applyFont="1" applyFill="1" applyAlignment="1" applyProtection="1">
      <alignment horizontal="center" vertical="center"/>
    </xf>
    <xf numFmtId="0" fontId="0" fillId="3" borderId="0" xfId="0" applyFill="1" applyAlignment="1" applyProtection="1">
      <alignment horizontal="center"/>
    </xf>
    <xf numFmtId="0" fontId="17" fillId="0" borderId="76" xfId="0" applyFont="1" applyFill="1" applyBorder="1" applyAlignment="1" applyProtection="1">
      <alignment horizontal="left"/>
    </xf>
    <xf numFmtId="0" fontId="17" fillId="0" borderId="82" xfId="0" applyFont="1" applyFill="1" applyBorder="1" applyAlignment="1" applyProtection="1">
      <alignment horizontal="left"/>
    </xf>
    <xf numFmtId="0" fontId="17" fillId="0" borderId="83" xfId="0" applyFont="1" applyFill="1" applyBorder="1" applyAlignment="1" applyProtection="1">
      <alignment horizontal="left"/>
    </xf>
    <xf numFmtId="0" fontId="17" fillId="0" borderId="8" xfId="0" applyFont="1" applyFill="1" applyBorder="1" applyAlignment="1" applyProtection="1">
      <alignment horizontal="left"/>
    </xf>
    <xf numFmtId="0" fontId="45" fillId="3" borderId="0" xfId="0" applyFont="1" applyFill="1" applyBorder="1" applyAlignment="1" applyProtection="1">
      <alignment horizontal="left"/>
    </xf>
    <xf numFmtId="0" fontId="23" fillId="5" borderId="13" xfId="0" applyFont="1" applyFill="1" applyBorder="1" applyAlignment="1" applyProtection="1">
      <alignment horizontal="center" vertical="center" wrapText="1"/>
    </xf>
    <xf numFmtId="0" fontId="15" fillId="3" borderId="84" xfId="0" applyFont="1" applyFill="1" applyBorder="1" applyAlignment="1" applyProtection="1">
      <alignment horizontal="center" vertical="center"/>
    </xf>
    <xf numFmtId="0" fontId="13" fillId="4" borderId="13" xfId="13" applyFont="1" applyFill="1" applyBorder="1" applyAlignment="1" applyProtection="1">
      <alignment vertical="center"/>
    </xf>
    <xf numFmtId="0" fontId="13" fillId="4" borderId="13" xfId="13" applyFont="1" applyFill="1" applyBorder="1" applyAlignment="1" applyProtection="1">
      <alignment vertical="center" wrapText="1"/>
    </xf>
    <xf numFmtId="3" fontId="9" fillId="3" borderId="0" xfId="0" applyNumberFormat="1" applyFont="1" applyFill="1" applyBorder="1" applyAlignment="1" applyProtection="1"/>
    <xf numFmtId="0" fontId="44" fillId="0" borderId="0" xfId="0" applyFont="1" applyFill="1" applyBorder="1" applyAlignment="1" applyProtection="1">
      <alignment horizontal="left" vertical="center"/>
    </xf>
    <xf numFmtId="0" fontId="44" fillId="0" borderId="0" xfId="0" applyFont="1" applyFill="1" applyBorder="1" applyAlignment="1" applyProtection="1">
      <alignment horizontal="left" vertical="top"/>
    </xf>
    <xf numFmtId="0" fontId="11" fillId="3" borderId="0" xfId="0" applyFont="1" applyFill="1" applyBorder="1" applyAlignment="1" applyProtection="1">
      <alignment vertical="center"/>
    </xf>
    <xf numFmtId="0" fontId="15" fillId="0" borderId="41" xfId="0" applyFont="1" applyBorder="1" applyAlignment="1" applyProtection="1">
      <alignment horizontal="center" vertical="center"/>
    </xf>
    <xf numFmtId="0" fontId="15" fillId="0" borderId="32" xfId="0" applyFont="1" applyBorder="1" applyAlignment="1" applyProtection="1">
      <alignment horizontal="center" vertical="center"/>
    </xf>
    <xf numFmtId="0" fontId="15" fillId="0" borderId="0" xfId="0" applyFont="1" applyAlignment="1" applyProtection="1">
      <alignment horizontal="center" vertical="center"/>
    </xf>
    <xf numFmtId="3" fontId="12" fillId="0" borderId="1" xfId="0" applyNumberFormat="1" applyFont="1" applyFill="1" applyBorder="1" applyAlignment="1" applyProtection="1">
      <alignment horizontal="center" vertical="center"/>
      <protection locked="0"/>
    </xf>
    <xf numFmtId="3" fontId="12" fillId="0" borderId="85" xfId="0" applyNumberFormat="1" applyFont="1" applyFill="1" applyBorder="1" applyAlignment="1" applyProtection="1">
      <alignment horizontal="center" vertical="center"/>
      <protection locked="0"/>
    </xf>
    <xf numFmtId="0" fontId="13" fillId="5" borderId="86" xfId="0" applyFont="1" applyFill="1" applyBorder="1" applyAlignment="1" applyProtection="1">
      <alignment horizontal="center" vertical="center" wrapText="1"/>
    </xf>
    <xf numFmtId="0" fontId="12" fillId="3" borderId="71" xfId="0" applyFont="1" applyFill="1" applyBorder="1" applyAlignment="1" applyProtection="1">
      <alignment horizontal="center" vertical="center" wrapText="1"/>
      <protection locked="0"/>
    </xf>
    <xf numFmtId="0" fontId="12" fillId="3" borderId="0"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12" fillId="3" borderId="0" xfId="0" applyFont="1" applyFill="1" applyBorder="1" applyAlignment="1" applyProtection="1">
      <alignment vertical="center" wrapText="1"/>
    </xf>
    <xf numFmtId="0" fontId="12" fillId="3" borderId="68" xfId="0" applyFont="1" applyFill="1" applyBorder="1" applyAlignment="1" applyProtection="1">
      <alignment vertical="center" wrapText="1"/>
    </xf>
    <xf numFmtId="3" fontId="15" fillId="4" borderId="1" xfId="0" applyNumberFormat="1" applyFont="1" applyFill="1" applyBorder="1" applyAlignment="1" applyProtection="1">
      <alignment horizontal="center" vertical="center"/>
    </xf>
    <xf numFmtId="0" fontId="6" fillId="0" borderId="34" xfId="0" applyFont="1" applyFill="1" applyBorder="1" applyAlignment="1" applyProtection="1">
      <alignment horizontal="left" vertical="top"/>
    </xf>
    <xf numFmtId="0" fontId="15" fillId="0" borderId="10" xfId="0" applyFont="1" applyFill="1" applyBorder="1" applyAlignment="1" applyProtection="1">
      <alignment horizontal="left" vertical="center"/>
    </xf>
    <xf numFmtId="4" fontId="15" fillId="0" borderId="10" xfId="0" applyNumberFormat="1" applyFont="1" applyFill="1" applyBorder="1" applyAlignment="1" applyProtection="1">
      <alignment horizontal="right" vertical="center"/>
    </xf>
    <xf numFmtId="167" fontId="15" fillId="0" borderId="10" xfId="0" applyNumberFormat="1" applyFont="1" applyFill="1" applyBorder="1" applyAlignment="1" applyProtection="1">
      <alignment horizontal="right" vertical="center"/>
    </xf>
    <xf numFmtId="3" fontId="13" fillId="4" borderId="1" xfId="0" applyNumberFormat="1" applyFont="1" applyFill="1" applyBorder="1" applyAlignment="1" applyProtection="1">
      <alignment horizontal="center" vertical="center"/>
    </xf>
    <xf numFmtId="3" fontId="15" fillId="4" borderId="13" xfId="0" applyNumberFormat="1" applyFont="1" applyFill="1" applyBorder="1" applyAlignment="1" applyProtection="1">
      <alignment horizontal="center" vertical="center"/>
    </xf>
    <xf numFmtId="3" fontId="12" fillId="4" borderId="85" xfId="0" applyNumberFormat="1" applyFont="1" applyFill="1" applyBorder="1" applyAlignment="1" applyProtection="1">
      <alignment horizontal="center" vertical="center"/>
    </xf>
    <xf numFmtId="3" fontId="12" fillId="4" borderId="1" xfId="0" applyNumberFormat="1" applyFont="1" applyFill="1" applyBorder="1" applyAlignment="1" applyProtection="1">
      <alignment horizontal="center" vertical="center"/>
    </xf>
    <xf numFmtId="0" fontId="13" fillId="4" borderId="49" xfId="0" applyNumberFormat="1" applyFont="1" applyFill="1" applyBorder="1" applyAlignment="1" applyProtection="1">
      <alignment vertical="center"/>
    </xf>
    <xf numFmtId="0" fontId="13" fillId="4" borderId="87" xfId="0" applyNumberFormat="1" applyFont="1" applyFill="1" applyBorder="1" applyAlignment="1" applyProtection="1">
      <alignment vertical="center"/>
    </xf>
    <xf numFmtId="49" fontId="13" fillId="4" borderId="49" xfId="0" applyNumberFormat="1" applyFont="1" applyFill="1" applyBorder="1" applyAlignment="1" applyProtection="1">
      <alignment vertical="center"/>
    </xf>
    <xf numFmtId="0" fontId="0" fillId="7" borderId="0" xfId="0" applyFill="1" applyProtection="1"/>
    <xf numFmtId="0" fontId="21" fillId="0" borderId="0" xfId="0" applyFont="1" applyAlignment="1" applyProtection="1">
      <alignment horizontal="left" vertical="center" wrapText="1"/>
    </xf>
    <xf numFmtId="0" fontId="11" fillId="2" borderId="11" xfId="0" applyFont="1" applyFill="1" applyBorder="1" applyAlignment="1" applyProtection="1">
      <alignment horizontal="left" vertical="center"/>
    </xf>
    <xf numFmtId="0" fontId="11" fillId="2" borderId="76" xfId="0" applyFont="1" applyFill="1" applyBorder="1" applyAlignment="1" applyProtection="1">
      <alignment horizontal="left" vertical="center"/>
    </xf>
    <xf numFmtId="0" fontId="15" fillId="4" borderId="88" xfId="0" applyFont="1" applyFill="1" applyBorder="1" applyAlignment="1" applyProtection="1">
      <alignment horizontal="left" vertical="center" indent="1"/>
    </xf>
    <xf numFmtId="0" fontId="15" fillId="4" borderId="89" xfId="0" applyFont="1" applyFill="1" applyBorder="1" applyAlignment="1" applyProtection="1">
      <alignment horizontal="left" vertical="center" indent="1"/>
    </xf>
    <xf numFmtId="0" fontId="11" fillId="2" borderId="49" xfId="0" applyFont="1" applyFill="1" applyBorder="1" applyAlignment="1" applyProtection="1">
      <alignment horizontal="left" vertical="center"/>
    </xf>
    <xf numFmtId="0" fontId="13" fillId="4" borderId="90" xfId="0" applyFont="1" applyFill="1" applyBorder="1" applyAlignment="1" applyProtection="1">
      <alignment horizontal="left" vertical="center" indent="1"/>
    </xf>
    <xf numFmtId="0" fontId="13" fillId="4" borderId="8" xfId="0" applyFont="1" applyFill="1" applyBorder="1" applyAlignment="1" applyProtection="1">
      <alignment horizontal="left" vertical="center" indent="1"/>
    </xf>
    <xf numFmtId="0" fontId="13" fillId="4" borderId="91" xfId="0" applyFont="1" applyFill="1" applyBorder="1" applyAlignment="1" applyProtection="1">
      <alignment horizontal="left" vertical="center" indent="1"/>
    </xf>
    <xf numFmtId="0" fontId="13" fillId="5" borderId="3" xfId="0" applyFont="1" applyFill="1" applyBorder="1" applyAlignment="1" applyProtection="1">
      <alignment horizontal="center" vertical="center" wrapText="1"/>
    </xf>
    <xf numFmtId="0" fontId="11" fillId="0" borderId="45" xfId="0" applyFont="1" applyFill="1" applyBorder="1" applyAlignment="1" applyProtection="1">
      <alignment horizontal="center"/>
    </xf>
    <xf numFmtId="0" fontId="12" fillId="0" borderId="34" xfId="0" applyFont="1" applyFill="1" applyBorder="1" applyAlignment="1" applyProtection="1">
      <alignment horizontal="center" vertical="center"/>
    </xf>
    <xf numFmtId="0" fontId="17" fillId="2" borderId="0" xfId="0" applyFont="1" applyFill="1" applyBorder="1" applyAlignment="1" applyProtection="1">
      <alignment horizontal="left"/>
    </xf>
    <xf numFmtId="0" fontId="15" fillId="4" borderId="13" xfId="0" applyFont="1" applyFill="1" applyBorder="1" applyAlignment="1" applyProtection="1">
      <alignment horizontal="left" vertical="center" indent="1"/>
    </xf>
    <xf numFmtId="166" fontId="15" fillId="4" borderId="4" xfId="0" applyNumberFormat="1" applyFont="1" applyFill="1" applyBorder="1" applyAlignment="1" applyProtection="1">
      <alignment horizontal="left" indent="1"/>
    </xf>
    <xf numFmtId="0" fontId="15" fillId="4" borderId="4" xfId="0" applyFont="1" applyFill="1" applyBorder="1" applyAlignment="1" applyProtection="1">
      <alignment horizontal="left" indent="1"/>
    </xf>
    <xf numFmtId="0" fontId="21" fillId="3" borderId="0" xfId="0" applyFont="1" applyFill="1" applyAlignment="1" applyProtection="1">
      <alignment horizontal="left" wrapText="1"/>
    </xf>
    <xf numFmtId="0" fontId="11" fillId="2" borderId="13" xfId="0" applyFont="1" applyFill="1" applyBorder="1" applyAlignment="1" applyProtection="1">
      <alignment horizontal="left" vertical="center"/>
    </xf>
    <xf numFmtId="0" fontId="11" fillId="2" borderId="16" xfId="0" applyFont="1" applyFill="1" applyBorder="1" applyAlignment="1" applyProtection="1">
      <alignment horizontal="left" vertical="center"/>
    </xf>
    <xf numFmtId="0" fontId="8" fillId="3" borderId="0" xfId="0" applyFont="1" applyFill="1" applyAlignment="1" applyProtection="1"/>
    <xf numFmtId="0" fontId="13" fillId="5" borderId="75" xfId="0" applyFont="1" applyFill="1" applyBorder="1" applyAlignment="1" applyProtection="1">
      <alignment horizontal="center" vertical="center" wrapText="1"/>
    </xf>
    <xf numFmtId="0" fontId="11" fillId="2" borderId="0" xfId="0" applyFont="1" applyFill="1" applyBorder="1" applyAlignment="1" applyProtection="1">
      <alignment horizontal="left" vertical="center"/>
    </xf>
    <xf numFmtId="0" fontId="11" fillId="2" borderId="11" xfId="0" applyFont="1" applyFill="1" applyBorder="1" applyAlignment="1" applyProtection="1">
      <alignment vertical="center"/>
    </xf>
    <xf numFmtId="0" fontId="23" fillId="3" borderId="3" xfId="0" applyFont="1" applyFill="1" applyBorder="1" applyAlignment="1" applyProtection="1">
      <alignment horizontal="center" vertical="center" wrapText="1"/>
    </xf>
    <xf numFmtId="0" fontId="11" fillId="0" borderId="34" xfId="0" applyFont="1" applyFill="1" applyBorder="1" applyAlignment="1" applyProtection="1">
      <alignment horizontal="center"/>
    </xf>
    <xf numFmtId="0" fontId="12" fillId="3" borderId="0" xfId="0" applyFont="1" applyFill="1" applyAlignment="1" applyProtection="1">
      <alignment horizontal="left" wrapText="1" indent="1"/>
    </xf>
    <xf numFmtId="0" fontId="18" fillId="3" borderId="0" xfId="0" applyFont="1" applyFill="1" applyBorder="1" applyAlignment="1" applyProtection="1">
      <alignment horizontal="left" wrapText="1"/>
    </xf>
    <xf numFmtId="0" fontId="13" fillId="3" borderId="54" xfId="0" applyFont="1" applyFill="1" applyBorder="1" applyAlignment="1" applyProtection="1">
      <alignment horizontal="center"/>
      <protection locked="0"/>
    </xf>
    <xf numFmtId="166" fontId="15" fillId="4" borderId="16" xfId="0" applyNumberFormat="1" applyFont="1" applyFill="1" applyBorder="1" applyAlignment="1" applyProtection="1">
      <alignment horizontal="left" vertical="center" indent="1"/>
    </xf>
    <xf numFmtId="166" fontId="15" fillId="4" borderId="70" xfId="0" applyNumberFormat="1" applyFont="1" applyFill="1" applyBorder="1" applyAlignment="1" applyProtection="1">
      <alignment horizontal="left" vertical="center" indent="1"/>
    </xf>
    <xf numFmtId="0" fontId="15" fillId="4" borderId="90" xfId="0" applyFont="1" applyFill="1" applyBorder="1" applyAlignment="1" applyProtection="1">
      <alignment horizontal="left" vertical="center" indent="1"/>
    </xf>
    <xf numFmtId="0" fontId="51" fillId="0" borderId="0" xfId="0" applyFont="1" applyFill="1" applyBorder="1" applyAlignment="1" applyProtection="1">
      <alignment horizontal="left" wrapText="1"/>
    </xf>
    <xf numFmtId="0" fontId="23" fillId="3" borderId="0" xfId="0" applyFont="1" applyFill="1" applyProtection="1"/>
    <xf numFmtId="0" fontId="4" fillId="3" borderId="0" xfId="0" applyFont="1" applyFill="1" applyAlignment="1" applyProtection="1">
      <alignment horizontal="left" wrapText="1"/>
    </xf>
    <xf numFmtId="0" fontId="5" fillId="3" borderId="0" xfId="0" applyFont="1" applyFill="1" applyProtection="1"/>
    <xf numFmtId="0" fontId="8" fillId="0" borderId="0" xfId="0" applyFont="1" applyFill="1" applyAlignment="1" applyProtection="1">
      <alignment vertical="center"/>
    </xf>
    <xf numFmtId="0" fontId="0" fillId="0" borderId="0" xfId="0" applyFill="1" applyBorder="1" applyAlignment="1" applyProtection="1">
      <alignment vertical="center"/>
    </xf>
    <xf numFmtId="0" fontId="12" fillId="0" borderId="0" xfId="0" applyFont="1" applyAlignment="1" applyProtection="1">
      <alignment horizontal="center" vertical="center"/>
    </xf>
    <xf numFmtId="0" fontId="12" fillId="0" borderId="0" xfId="0" applyFont="1" applyAlignment="1" applyProtection="1">
      <alignment horizontal="left" vertical="center" indent="1"/>
    </xf>
    <xf numFmtId="0" fontId="12" fillId="0" borderId="0" xfId="0" applyNumberFormat="1" applyFont="1" applyAlignment="1" applyProtection="1">
      <alignment horizontal="center" vertical="center"/>
    </xf>
    <xf numFmtId="3" fontId="12" fillId="0" borderId="0" xfId="0" applyNumberFormat="1" applyFont="1" applyAlignment="1" applyProtection="1">
      <alignment horizontal="center" vertical="center"/>
    </xf>
    <xf numFmtId="0" fontId="12" fillId="0" borderId="0" xfId="0" applyFont="1" applyBorder="1" applyAlignment="1" applyProtection="1">
      <alignment vertical="center"/>
    </xf>
    <xf numFmtId="0" fontId="0" fillId="0" borderId="0" xfId="0" applyAlignment="1" applyProtection="1">
      <alignment horizontal="center" vertical="center"/>
    </xf>
    <xf numFmtId="0" fontId="0" fillId="0" borderId="49" xfId="0" applyBorder="1" applyProtection="1"/>
    <xf numFmtId="0" fontId="0" fillId="0" borderId="0" xfId="0" applyAlignment="1" applyProtection="1"/>
    <xf numFmtId="0" fontId="15" fillId="0" borderId="0" xfId="0" applyFont="1" applyFill="1" applyBorder="1" applyAlignment="1" applyProtection="1">
      <alignment horizontal="left" vertical="center" wrapText="1" indent="1"/>
    </xf>
    <xf numFmtId="0" fontId="0" fillId="0" borderId="0" xfId="0" applyFill="1" applyBorder="1" applyAlignment="1" applyProtection="1">
      <alignment horizontal="left" vertical="center" wrapText="1" indent="1"/>
    </xf>
    <xf numFmtId="165" fontId="2" fillId="3" borderId="0" xfId="1" applyNumberFormat="1" applyFill="1" applyProtection="1"/>
    <xf numFmtId="170" fontId="13" fillId="0" borderId="1" xfId="0" applyNumberFormat="1" applyFont="1" applyFill="1" applyBorder="1" applyAlignment="1" applyProtection="1">
      <alignment horizontal="center" vertical="center" wrapText="1"/>
      <protection locked="0"/>
    </xf>
    <xf numFmtId="170" fontId="13" fillId="0" borderId="85" xfId="0" applyNumberFormat="1" applyFont="1" applyFill="1" applyBorder="1" applyAlignment="1" applyProtection="1">
      <alignment horizontal="center" vertical="center" wrapText="1"/>
      <protection locked="0"/>
    </xf>
    <xf numFmtId="0" fontId="2" fillId="0" borderId="0" xfId="0" applyFont="1" applyFill="1" applyAlignment="1" applyProtection="1">
      <alignment vertical="center"/>
    </xf>
    <xf numFmtId="0" fontId="15" fillId="0" borderId="10" xfId="0" applyFont="1" applyFill="1" applyBorder="1" applyAlignment="1" applyProtection="1">
      <alignment horizontal="left" vertical="center" indent="1"/>
    </xf>
    <xf numFmtId="0" fontId="36" fillId="0" borderId="0" xfId="0" applyFont="1" applyFill="1" applyBorder="1" applyAlignment="1" applyProtection="1">
      <alignment horizontal="right" vertical="center"/>
    </xf>
    <xf numFmtId="0" fontId="36" fillId="0" borderId="0" xfId="0" applyFont="1" applyProtection="1"/>
    <xf numFmtId="165" fontId="36" fillId="0" borderId="0" xfId="1" applyNumberFormat="1" applyFont="1" applyProtection="1"/>
    <xf numFmtId="167" fontId="13" fillId="6" borderId="4" xfId="0" applyNumberFormat="1" applyFont="1" applyFill="1" applyBorder="1" applyAlignment="1" applyProtection="1">
      <alignment horizontal="left" vertical="top" wrapText="1"/>
    </xf>
    <xf numFmtId="4" fontId="12" fillId="3" borderId="49" xfId="0" applyNumberFormat="1" applyFont="1" applyFill="1" applyBorder="1" applyAlignment="1" applyProtection="1">
      <alignment horizontal="right" vertical="center"/>
    </xf>
    <xf numFmtId="0" fontId="13" fillId="0" borderId="69" xfId="0" applyFont="1" applyFill="1" applyBorder="1" applyAlignment="1" applyProtection="1">
      <alignment horizontal="center" vertical="center"/>
    </xf>
    <xf numFmtId="0" fontId="0" fillId="0" borderId="0" xfId="0" applyFill="1" applyAlignment="1" applyProtection="1">
      <alignment vertical="center" wrapText="1"/>
    </xf>
    <xf numFmtId="0" fontId="0" fillId="0" borderId="0" xfId="0" applyFill="1" applyBorder="1" applyAlignment="1" applyProtection="1">
      <alignment vertical="center" wrapText="1"/>
    </xf>
    <xf numFmtId="0" fontId="13" fillId="3" borderId="0" xfId="0" applyFont="1" applyFill="1" applyBorder="1" applyAlignment="1" applyProtection="1">
      <alignment horizontal="center" vertical="center"/>
    </xf>
    <xf numFmtId="0" fontId="12" fillId="0" borderId="0" xfId="0" applyFont="1" applyBorder="1" applyProtection="1"/>
    <xf numFmtId="0" fontId="0" fillId="0" borderId="32" xfId="0" applyBorder="1" applyProtection="1"/>
    <xf numFmtId="0" fontId="2" fillId="3" borderId="34" xfId="0" applyFont="1" applyFill="1" applyBorder="1" applyProtection="1"/>
    <xf numFmtId="0" fontId="0" fillId="0" borderId="33" xfId="0" applyBorder="1" applyProtection="1"/>
    <xf numFmtId="0" fontId="0" fillId="0" borderId="47" xfId="0" applyBorder="1" applyProtection="1"/>
    <xf numFmtId="2" fontId="12" fillId="0" borderId="0" xfId="0" applyNumberFormat="1" applyFont="1" applyBorder="1" applyAlignment="1" applyProtection="1"/>
    <xf numFmtId="0" fontId="0" fillId="0" borderId="51" xfId="0" applyBorder="1" applyProtection="1"/>
    <xf numFmtId="0" fontId="12" fillId="3" borderId="0" xfId="0" applyFont="1" applyFill="1" applyBorder="1" applyAlignment="1" applyProtection="1">
      <alignment horizontal="left" vertical="center" wrapText="1" indent="1"/>
    </xf>
    <xf numFmtId="0" fontId="9" fillId="4" borderId="13" xfId="13" applyFont="1" applyFill="1" applyBorder="1" applyAlignment="1" applyProtection="1">
      <alignment vertical="center"/>
    </xf>
    <xf numFmtId="0" fontId="12" fillId="0" borderId="0" xfId="13" applyFont="1" applyProtection="1"/>
    <xf numFmtId="0" fontId="13" fillId="4" borderId="92" xfId="13" applyFont="1" applyFill="1" applyBorder="1" applyAlignment="1" applyProtection="1"/>
    <xf numFmtId="0" fontId="13" fillId="4" borderId="90" xfId="13" applyFont="1" applyFill="1" applyBorder="1" applyAlignment="1" applyProtection="1"/>
    <xf numFmtId="0" fontId="13" fillId="0" borderId="93" xfId="13" applyFont="1" applyBorder="1" applyAlignment="1" applyProtection="1">
      <alignment vertical="center"/>
    </xf>
    <xf numFmtId="0" fontId="13" fillId="0" borderId="94" xfId="13" applyFont="1" applyBorder="1" applyAlignment="1" applyProtection="1">
      <alignment vertical="center"/>
    </xf>
    <xf numFmtId="0" fontId="48" fillId="3" borderId="0" xfId="0" applyFont="1" applyFill="1" applyAlignment="1" applyProtection="1">
      <alignment horizontal="center"/>
    </xf>
    <xf numFmtId="0" fontId="13" fillId="5" borderId="1" xfId="0" applyFont="1" applyFill="1" applyBorder="1" applyAlignment="1" applyProtection="1">
      <alignment horizontal="center" vertical="top"/>
    </xf>
    <xf numFmtId="0" fontId="13" fillId="8" borderId="6" xfId="0" applyFont="1" applyFill="1" applyBorder="1" applyAlignment="1" applyProtection="1">
      <alignment horizontal="center" vertical="top" wrapText="1"/>
    </xf>
    <xf numFmtId="0" fontId="13" fillId="5" borderId="6" xfId="0" applyFont="1" applyFill="1" applyBorder="1" applyAlignment="1" applyProtection="1">
      <alignment horizontal="center" vertical="top" wrapText="1"/>
    </xf>
    <xf numFmtId="0" fontId="13" fillId="5" borderId="1" xfId="0" applyFont="1" applyFill="1" applyBorder="1" applyAlignment="1" applyProtection="1">
      <alignment horizontal="center" vertical="top" wrapText="1"/>
    </xf>
    <xf numFmtId="0" fontId="13" fillId="8" borderId="1" xfId="0" applyFont="1" applyFill="1" applyBorder="1" applyAlignment="1" applyProtection="1">
      <alignment horizontal="center" vertical="top" wrapText="1"/>
    </xf>
    <xf numFmtId="0" fontId="0" fillId="3" borderId="0" xfId="0" applyFill="1" applyAlignment="1" applyProtection="1">
      <alignment vertical="top"/>
    </xf>
    <xf numFmtId="0" fontId="15" fillId="3" borderId="0" xfId="0" applyFont="1" applyFill="1" applyBorder="1" applyProtection="1"/>
    <xf numFmtId="0" fontId="15" fillId="9" borderId="0" xfId="0" applyFont="1" applyFill="1" applyBorder="1" applyProtection="1"/>
    <xf numFmtId="0" fontId="50" fillId="3" borderId="0" xfId="0" applyFont="1" applyFill="1" applyBorder="1" applyProtection="1"/>
    <xf numFmtId="0" fontId="12" fillId="3" borderId="0" xfId="0" applyFont="1" applyFill="1" applyAlignment="1" applyProtection="1">
      <alignment horizontal="center"/>
    </xf>
    <xf numFmtId="0" fontId="55" fillId="3" borderId="0" xfId="0" applyFont="1" applyFill="1" applyProtection="1"/>
    <xf numFmtId="0" fontId="1" fillId="3" borderId="0" xfId="0" applyFont="1" applyFill="1" applyProtection="1"/>
    <xf numFmtId="0" fontId="1" fillId="0" borderId="0" xfId="0" applyFont="1" applyProtection="1"/>
    <xf numFmtId="0" fontId="60" fillId="3" borderId="0" xfId="0" applyFont="1" applyFill="1" applyProtection="1"/>
    <xf numFmtId="0" fontId="56" fillId="5" borderId="69" xfId="0" applyFont="1" applyFill="1" applyBorder="1" applyAlignment="1" applyProtection="1">
      <alignment horizontal="center" wrapText="1"/>
    </xf>
    <xf numFmtId="0" fontId="58" fillId="5" borderId="69" xfId="0" applyFont="1" applyFill="1" applyBorder="1" applyAlignment="1" applyProtection="1">
      <alignment horizontal="center" wrapText="1"/>
    </xf>
    <xf numFmtId="0" fontId="59" fillId="0" borderId="93" xfId="0" applyFont="1" applyBorder="1" applyAlignment="1" applyProtection="1">
      <alignment wrapText="1"/>
    </xf>
    <xf numFmtId="0" fontId="59" fillId="0" borderId="1" xfId="0" applyFont="1" applyBorder="1" applyAlignment="1" applyProtection="1">
      <alignment horizontal="center" wrapText="1"/>
    </xf>
    <xf numFmtId="0" fontId="59" fillId="0" borderId="1" xfId="0" applyFont="1" applyBorder="1" applyAlignment="1" applyProtection="1">
      <alignment wrapText="1"/>
    </xf>
    <xf numFmtId="0" fontId="59" fillId="0" borderId="4" xfId="0" applyFont="1" applyBorder="1" applyAlignment="1" applyProtection="1">
      <alignment wrapText="1"/>
    </xf>
    <xf numFmtId="0" fontId="59" fillId="3" borderId="0" xfId="0" applyFont="1" applyFill="1" applyBorder="1" applyAlignment="1" applyProtection="1">
      <alignment wrapText="1"/>
    </xf>
    <xf numFmtId="0" fontId="59" fillId="0" borderId="95" xfId="0" applyFont="1" applyBorder="1" applyProtection="1"/>
    <xf numFmtId="0" fontId="59" fillId="0" borderId="4" xfId="0" applyFont="1" applyBorder="1" applyProtection="1"/>
    <xf numFmtId="0" fontId="56" fillId="0" borderId="1" xfId="0" applyFont="1" applyFill="1" applyBorder="1" applyAlignment="1" applyProtection="1">
      <alignment horizontal="center" wrapText="1"/>
    </xf>
    <xf numFmtId="0" fontId="56" fillId="0" borderId="4" xfId="0" applyFont="1" applyFill="1" applyBorder="1" applyAlignment="1" applyProtection="1">
      <alignment horizontal="center" wrapText="1"/>
    </xf>
    <xf numFmtId="0" fontId="59" fillId="0" borderId="94" xfId="0" applyFont="1" applyBorder="1" applyProtection="1"/>
    <xf numFmtId="0" fontId="59" fillId="0" borderId="85" xfId="0" applyFont="1" applyBorder="1" applyAlignment="1" applyProtection="1">
      <alignment wrapText="1"/>
    </xf>
    <xf numFmtId="0" fontId="59" fillId="0" borderId="96" xfId="0" applyFont="1" applyBorder="1" applyAlignment="1" applyProtection="1">
      <alignment wrapText="1"/>
    </xf>
    <xf numFmtId="0" fontId="1" fillId="3" borderId="0" xfId="0" applyFont="1" applyFill="1" applyAlignment="1" applyProtection="1">
      <alignment wrapText="1"/>
    </xf>
    <xf numFmtId="0" fontId="1" fillId="0" borderId="0" xfId="0" applyFont="1" applyAlignment="1" applyProtection="1">
      <alignment wrapText="1"/>
    </xf>
    <xf numFmtId="0" fontId="15" fillId="4" borderId="3" xfId="0" applyFont="1" applyFill="1" applyBorder="1" applyAlignment="1" applyProtection="1">
      <alignment horizontal="left" vertical="center" indent="1"/>
    </xf>
    <xf numFmtId="166" fontId="15" fillId="4" borderId="97" xfId="0" applyNumberFormat="1" applyFont="1" applyFill="1" applyBorder="1" applyAlignment="1" applyProtection="1">
      <alignment horizontal="left" vertical="center" indent="1"/>
    </xf>
    <xf numFmtId="0" fontId="49" fillId="3" borderId="0" xfId="0" applyFont="1" applyFill="1" applyAlignment="1" applyProtection="1">
      <alignment vertical="center"/>
    </xf>
    <xf numFmtId="0" fontId="8" fillId="0" borderId="0" xfId="0" applyFont="1" applyFill="1" applyBorder="1" applyAlignment="1" applyProtection="1">
      <alignment horizontal="left" vertical="center" wrapText="1" indent="1"/>
    </xf>
    <xf numFmtId="165" fontId="2" fillId="3" borderId="0" xfId="1" applyNumberFormat="1" applyFill="1" applyAlignment="1" applyProtection="1">
      <alignment vertical="center"/>
    </xf>
    <xf numFmtId="0" fontId="0" fillId="4" borderId="8" xfId="0" applyFill="1" applyBorder="1" applyAlignment="1" applyProtection="1">
      <alignment horizontal="center" vertical="center"/>
    </xf>
    <xf numFmtId="0" fontId="31" fillId="4" borderId="8" xfId="0" applyFont="1" applyFill="1" applyBorder="1" applyAlignment="1" applyProtection="1">
      <alignment vertical="center"/>
    </xf>
    <xf numFmtId="0" fontId="31" fillId="4" borderId="91" xfId="0" applyFont="1" applyFill="1" applyBorder="1" applyAlignment="1" applyProtection="1">
      <alignment vertical="center"/>
    </xf>
    <xf numFmtId="0" fontId="12" fillId="4" borderId="92" xfId="0" applyFont="1" applyFill="1" applyBorder="1" applyAlignment="1" applyProtection="1">
      <alignment horizontal="left" vertical="center" wrapText="1" indent="1"/>
    </xf>
    <xf numFmtId="0" fontId="12" fillId="4" borderId="3" xfId="0" applyFont="1" applyFill="1" applyBorder="1" applyAlignment="1" applyProtection="1">
      <alignment horizontal="left" vertical="center" wrapText="1" indent="1"/>
    </xf>
    <xf numFmtId="0" fontId="12" fillId="4" borderId="93" xfId="0" applyFont="1" applyFill="1" applyBorder="1" applyAlignment="1" applyProtection="1">
      <alignment horizontal="left" vertical="center" wrapText="1" indent="1"/>
    </xf>
    <xf numFmtId="0" fontId="12" fillId="4" borderId="1" xfId="0" applyFont="1" applyFill="1" applyBorder="1" applyAlignment="1" applyProtection="1">
      <alignment horizontal="left" vertical="center" wrapText="1" indent="1"/>
    </xf>
    <xf numFmtId="0" fontId="0" fillId="3" borderId="0" xfId="0" applyFill="1" applyAlignment="1" applyProtection="1">
      <alignment horizontal="center" vertical="center"/>
    </xf>
    <xf numFmtId="0" fontId="0" fillId="0" borderId="33" xfId="0" applyBorder="1" applyAlignment="1" applyProtection="1"/>
    <xf numFmtId="0" fontId="0" fillId="0" borderId="47" xfId="0" applyBorder="1" applyAlignment="1" applyProtection="1"/>
    <xf numFmtId="0" fontId="0" fillId="0" borderId="0" xfId="0" applyFill="1" applyAlignment="1" applyProtection="1"/>
    <xf numFmtId="0" fontId="13" fillId="5" borderId="75" xfId="0" applyFont="1" applyFill="1" applyBorder="1" applyAlignment="1" applyProtection="1">
      <alignment horizontal="center" vertical="center"/>
    </xf>
    <xf numFmtId="0" fontId="12" fillId="3" borderId="34" xfId="0" applyFont="1" applyFill="1" applyBorder="1" applyProtection="1"/>
    <xf numFmtId="0" fontId="13" fillId="5" borderId="76" xfId="0" applyFont="1" applyFill="1" applyBorder="1" applyAlignment="1" applyProtection="1">
      <alignment horizontal="center" vertical="center"/>
    </xf>
    <xf numFmtId="0" fontId="13" fillId="5" borderId="98" xfId="0" applyFont="1" applyFill="1" applyBorder="1" applyAlignment="1" applyProtection="1">
      <alignment horizontal="center" vertical="center"/>
    </xf>
    <xf numFmtId="0" fontId="36" fillId="0" borderId="46" xfId="0" applyFont="1" applyFill="1" applyBorder="1" applyAlignment="1" applyProtection="1">
      <alignment wrapText="1"/>
    </xf>
    <xf numFmtId="0" fontId="13" fillId="0" borderId="46" xfId="0" applyFont="1" applyFill="1" applyBorder="1" applyAlignment="1" applyProtection="1">
      <alignment horizontal="center" vertical="center"/>
    </xf>
    <xf numFmtId="0" fontId="36" fillId="0" borderId="45" xfId="0" applyFont="1" applyFill="1" applyBorder="1" applyAlignment="1" applyProtection="1">
      <alignment vertical="center" wrapText="1"/>
    </xf>
    <xf numFmtId="0" fontId="13" fillId="0" borderId="45" xfId="0" applyFont="1" applyFill="1" applyBorder="1" applyAlignment="1" applyProtection="1">
      <alignment horizontal="center" vertical="center"/>
    </xf>
    <xf numFmtId="0" fontId="13" fillId="0" borderId="45" xfId="0" applyFont="1" applyFill="1" applyBorder="1" applyAlignment="1" applyProtection="1">
      <alignment horizontal="center" vertical="center" wrapText="1"/>
    </xf>
    <xf numFmtId="0" fontId="0" fillId="0" borderId="45" xfId="0" applyFill="1" applyBorder="1" applyAlignment="1" applyProtection="1">
      <alignment horizontal="center" vertical="center" wrapText="1"/>
    </xf>
    <xf numFmtId="0" fontId="2" fillId="0" borderId="51" xfId="0" applyFont="1" applyFill="1" applyBorder="1" applyAlignment="1" applyProtection="1">
      <alignment vertical="center"/>
    </xf>
    <xf numFmtId="0" fontId="2" fillId="0" borderId="33" xfId="0" applyFont="1" applyFill="1" applyBorder="1" applyAlignment="1" applyProtection="1">
      <alignment vertical="center"/>
    </xf>
    <xf numFmtId="0" fontId="13" fillId="0" borderId="33" xfId="0" applyFont="1" applyFill="1" applyBorder="1" applyAlignment="1" applyProtection="1">
      <alignment horizontal="center" vertical="center"/>
    </xf>
    <xf numFmtId="0" fontId="2" fillId="3" borderId="0" xfId="0" applyFont="1" applyFill="1" applyBorder="1" applyAlignment="1" applyProtection="1">
      <alignment vertical="center"/>
    </xf>
    <xf numFmtId="0" fontId="23" fillId="3" borderId="0" xfId="0" applyFont="1" applyFill="1" applyBorder="1" applyAlignment="1" applyProtection="1"/>
    <xf numFmtId="0" fontId="0" fillId="0" borderId="0" xfId="0" applyAlignment="1" applyProtection="1">
      <alignment wrapText="1"/>
    </xf>
    <xf numFmtId="0" fontId="0" fillId="0" borderId="46" xfId="0" applyFill="1" applyBorder="1" applyAlignment="1" applyProtection="1">
      <alignment vertical="center" wrapText="1"/>
    </xf>
    <xf numFmtId="0" fontId="2" fillId="3" borderId="69" xfId="0" applyFont="1" applyFill="1" applyBorder="1" applyAlignment="1" applyProtection="1">
      <alignment vertical="center"/>
      <protection locked="0"/>
    </xf>
    <xf numFmtId="167" fontId="12" fillId="0" borderId="75" xfId="0" applyNumberFormat="1" applyFont="1" applyFill="1" applyBorder="1" applyAlignment="1" applyProtection="1">
      <alignment horizontal="right" vertical="center"/>
      <protection locked="0"/>
    </xf>
    <xf numFmtId="167" fontId="12" fillId="0" borderId="1" xfId="0" applyNumberFormat="1" applyFont="1" applyFill="1" applyBorder="1" applyAlignment="1" applyProtection="1">
      <alignment horizontal="right" vertical="center"/>
      <protection locked="0"/>
    </xf>
    <xf numFmtId="167" fontId="12" fillId="0" borderId="28" xfId="0" applyNumberFormat="1" applyFont="1" applyFill="1" applyBorder="1" applyAlignment="1" applyProtection="1">
      <alignment horizontal="right" vertical="center"/>
      <protection locked="0"/>
    </xf>
    <xf numFmtId="0" fontId="0" fillId="3" borderId="33" xfId="0" applyFill="1" applyBorder="1" applyProtection="1"/>
    <xf numFmtId="0" fontId="2" fillId="0" borderId="32" xfId="0" applyFont="1" applyFill="1" applyBorder="1" applyProtection="1"/>
    <xf numFmtId="0" fontId="0" fillId="0" borderId="35" xfId="0" applyBorder="1" applyProtection="1"/>
    <xf numFmtId="0" fontId="0" fillId="0" borderId="68" xfId="0" applyFill="1" applyBorder="1" applyProtection="1"/>
    <xf numFmtId="0" fontId="0" fillId="0" borderId="99" xfId="0" applyFill="1" applyBorder="1" applyProtection="1"/>
    <xf numFmtId="0" fontId="0" fillId="0" borderId="46" xfId="0" applyFill="1" applyBorder="1" applyProtection="1"/>
    <xf numFmtId="0" fontId="0" fillId="3" borderId="11" xfId="0" applyFill="1" applyBorder="1" applyAlignment="1" applyProtection="1">
      <alignment vertical="center" wrapText="1"/>
    </xf>
    <xf numFmtId="0" fontId="0" fillId="3" borderId="100" xfId="0" applyFill="1" applyBorder="1" applyAlignment="1" applyProtection="1">
      <alignment vertical="center" wrapText="1"/>
    </xf>
    <xf numFmtId="167" fontId="15" fillId="0" borderId="0" xfId="0" applyNumberFormat="1" applyFont="1" applyFill="1" applyBorder="1" applyAlignment="1" applyProtection="1">
      <alignment horizontal="right"/>
    </xf>
    <xf numFmtId="167" fontId="15" fillId="3" borderId="0" xfId="0" applyNumberFormat="1" applyFont="1" applyFill="1" applyBorder="1" applyAlignment="1" applyProtection="1">
      <alignment horizontal="right"/>
    </xf>
    <xf numFmtId="167" fontId="15" fillId="0" borderId="68" xfId="0" applyNumberFormat="1" applyFont="1" applyFill="1" applyBorder="1" applyAlignment="1" applyProtection="1">
      <alignment horizontal="right"/>
    </xf>
    <xf numFmtId="2" fontId="15" fillId="3" borderId="10" xfId="0" applyNumberFormat="1" applyFont="1" applyFill="1" applyBorder="1" applyAlignment="1" applyProtection="1"/>
    <xf numFmtId="0" fontId="12" fillId="3" borderId="46" xfId="0" applyFont="1" applyFill="1" applyBorder="1" applyAlignment="1" applyProtection="1">
      <alignment horizontal="left" vertical="center" wrapText="1" indent="1"/>
    </xf>
    <xf numFmtId="0" fontId="0" fillId="3" borderId="45" xfId="0" applyFill="1" applyBorder="1" applyProtection="1"/>
    <xf numFmtId="0" fontId="11" fillId="3" borderId="0" xfId="0" applyFont="1" applyFill="1" applyBorder="1" applyAlignment="1" applyProtection="1">
      <alignment horizontal="center"/>
    </xf>
    <xf numFmtId="4" fontId="13" fillId="0" borderId="0" xfId="0" applyNumberFormat="1" applyFont="1" applyFill="1" applyBorder="1" applyAlignment="1" applyProtection="1"/>
    <xf numFmtId="0" fontId="13" fillId="3" borderId="0" xfId="0" applyFont="1" applyFill="1" applyBorder="1" applyAlignment="1" applyProtection="1">
      <alignment horizontal="center"/>
    </xf>
    <xf numFmtId="0" fontId="41" fillId="3" borderId="0" xfId="0" applyFont="1" applyFill="1" applyProtection="1"/>
    <xf numFmtId="0" fontId="0" fillId="4" borderId="49" xfId="0" applyFill="1" applyBorder="1" applyProtection="1"/>
    <xf numFmtId="0" fontId="0" fillId="7" borderId="0" xfId="0" applyFill="1" applyAlignment="1" applyProtection="1">
      <alignment horizontal="center"/>
    </xf>
    <xf numFmtId="0" fontId="15" fillId="3" borderId="0" xfId="0" applyNumberFormat="1" applyFont="1" applyFill="1" applyBorder="1" applyAlignment="1" applyProtection="1">
      <alignment horizontal="center"/>
    </xf>
    <xf numFmtId="0" fontId="15" fillId="9" borderId="0" xfId="0" applyNumberFormat="1" applyFont="1" applyFill="1" applyBorder="1" applyAlignment="1" applyProtection="1">
      <alignment horizontal="center"/>
    </xf>
    <xf numFmtId="0" fontId="15" fillId="3" borderId="0" xfId="0" applyNumberFormat="1" applyFont="1" applyFill="1" applyBorder="1" applyProtection="1"/>
    <xf numFmtId="0" fontId="50" fillId="3" borderId="0" xfId="0" applyNumberFormat="1" applyFont="1" applyFill="1" applyBorder="1" applyProtection="1"/>
    <xf numFmtId="0" fontId="36" fillId="0" borderId="34" xfId="0" applyFont="1" applyBorder="1" applyAlignment="1" applyProtection="1"/>
    <xf numFmtId="0" fontId="12" fillId="0" borderId="34" xfId="0" applyFont="1" applyFill="1" applyBorder="1" applyAlignment="1" applyProtection="1">
      <alignment horizontal="left" vertical="center"/>
    </xf>
    <xf numFmtId="0" fontId="36" fillId="0" borderId="0" xfId="0" applyFont="1" applyFill="1" applyBorder="1" applyAlignment="1" applyProtection="1"/>
    <xf numFmtId="0" fontId="12" fillId="0" borderId="99" xfId="0" applyFont="1" applyFill="1" applyBorder="1" applyAlignment="1" applyProtection="1">
      <alignment horizontal="center"/>
    </xf>
    <xf numFmtId="0" fontId="12" fillId="0" borderId="46" xfId="0" applyFont="1" applyFill="1" applyBorder="1" applyAlignment="1" applyProtection="1"/>
    <xf numFmtId="0" fontId="12" fillId="0" borderId="65" xfId="0" applyFont="1" applyBorder="1" applyAlignment="1" applyProtection="1"/>
    <xf numFmtId="0" fontId="12" fillId="0" borderId="45" xfId="0" applyFont="1" applyBorder="1" applyAlignment="1" applyProtection="1"/>
    <xf numFmtId="0" fontId="12" fillId="0" borderId="47" xfId="0" applyFont="1" applyFill="1" applyBorder="1" applyAlignment="1" applyProtection="1">
      <alignment horizontal="right" wrapText="1"/>
    </xf>
    <xf numFmtId="0" fontId="12" fillId="3" borderId="0" xfId="0" applyFont="1" applyFill="1" applyAlignment="1" applyProtection="1">
      <alignment wrapText="1"/>
    </xf>
    <xf numFmtId="0" fontId="12" fillId="0" borderId="41" xfId="0" applyFont="1" applyBorder="1" applyAlignment="1" applyProtection="1"/>
    <xf numFmtId="0" fontId="52" fillId="3" borderId="0" xfId="0" applyFont="1" applyFill="1" applyProtection="1"/>
    <xf numFmtId="0" fontId="4" fillId="3" borderId="0" xfId="0" applyFont="1" applyFill="1" applyAlignment="1" applyProtection="1">
      <alignment horizontal="center"/>
    </xf>
    <xf numFmtId="0" fontId="23" fillId="3" borderId="0" xfId="0" applyFont="1" applyFill="1" applyAlignment="1" applyProtection="1">
      <alignment horizontal="left"/>
    </xf>
    <xf numFmtId="0" fontId="12" fillId="0" borderId="101" xfId="0" applyFont="1" applyFill="1" applyBorder="1" applyAlignment="1" applyProtection="1"/>
    <xf numFmtId="0" fontId="12" fillId="0" borderId="54" xfId="0" applyFont="1" applyFill="1" applyBorder="1" applyAlignment="1" applyProtection="1"/>
    <xf numFmtId="0" fontId="12" fillId="0" borderId="55" xfId="0" applyFont="1" applyFill="1" applyBorder="1" applyAlignment="1" applyProtection="1"/>
    <xf numFmtId="0" fontId="12" fillId="0" borderId="102" xfId="0" applyFont="1" applyFill="1" applyBorder="1" applyAlignment="1" applyProtection="1">
      <alignment horizontal="center"/>
    </xf>
    <xf numFmtId="0" fontId="12" fillId="0" borderId="55" xfId="0" applyFont="1" applyFill="1" applyBorder="1" applyAlignment="1" applyProtection="1">
      <alignment horizontal="center"/>
    </xf>
    <xf numFmtId="0" fontId="12" fillId="0" borderId="102" xfId="0" applyFont="1" applyFill="1" applyBorder="1" applyAlignment="1" applyProtection="1"/>
    <xf numFmtId="0" fontId="12" fillId="0" borderId="54" xfId="0" applyFont="1" applyBorder="1" applyAlignment="1" applyProtection="1"/>
    <xf numFmtId="0" fontId="12" fillId="0" borderId="102" xfId="0" applyFont="1" applyBorder="1" applyAlignment="1" applyProtection="1"/>
    <xf numFmtId="0" fontId="12" fillId="0" borderId="79" xfId="0" applyFont="1" applyFill="1" applyBorder="1" applyAlignment="1" applyProtection="1"/>
    <xf numFmtId="0" fontId="12" fillId="0" borderId="80" xfId="0" applyFont="1" applyFill="1" applyBorder="1" applyAlignment="1" applyProtection="1"/>
    <xf numFmtId="49" fontId="9" fillId="3" borderId="1" xfId="13" applyNumberFormat="1" applyFont="1" applyFill="1" applyBorder="1" applyAlignment="1" applyProtection="1">
      <alignment vertical="center"/>
      <protection locked="0"/>
    </xf>
    <xf numFmtId="43" fontId="13" fillId="5" borderId="85" xfId="13" applyNumberFormat="1" applyFont="1" applyFill="1" applyBorder="1" applyAlignment="1" applyProtection="1">
      <alignment vertical="center" wrapText="1"/>
    </xf>
    <xf numFmtId="0" fontId="12" fillId="3" borderId="68" xfId="0" applyFont="1" applyFill="1" applyBorder="1" applyAlignment="1" applyProtection="1">
      <alignment horizontal="left" vertical="center" wrapText="1"/>
      <protection locked="0"/>
    </xf>
    <xf numFmtId="0" fontId="12" fillId="3" borderId="46" xfId="0" applyFont="1" applyFill="1" applyBorder="1" applyAlignment="1" applyProtection="1">
      <alignment horizontal="left" vertical="center" wrapText="1"/>
      <protection locked="0"/>
    </xf>
    <xf numFmtId="0" fontId="12" fillId="3" borderId="0" xfId="0" applyFont="1" applyFill="1" applyBorder="1" applyAlignment="1" applyProtection="1">
      <alignment horizontal="left" vertical="center" wrapText="1"/>
      <protection locked="0"/>
    </xf>
    <xf numFmtId="0" fontId="12" fillId="3" borderId="99"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left" vertical="center" wrapText="1" indent="1"/>
      <protection locked="0"/>
    </xf>
    <xf numFmtId="0" fontId="15" fillId="0" borderId="99" xfId="0" applyFont="1" applyFill="1" applyBorder="1" applyAlignment="1" applyProtection="1">
      <alignment horizontal="left" vertical="center" wrapText="1" indent="1"/>
      <protection locked="0"/>
    </xf>
    <xf numFmtId="0" fontId="15" fillId="0" borderId="46" xfId="0" applyFont="1" applyFill="1" applyBorder="1" applyAlignment="1" applyProtection="1">
      <alignment horizontal="left" vertical="center" wrapText="1" indent="1"/>
      <protection locked="0"/>
    </xf>
    <xf numFmtId="0" fontId="0" fillId="0" borderId="0" xfId="0" applyFill="1" applyBorder="1" applyAlignment="1" applyProtection="1">
      <alignment horizontal="left" vertical="center" wrapText="1" indent="1"/>
      <protection locked="0"/>
    </xf>
    <xf numFmtId="0" fontId="0" fillId="0" borderId="46" xfId="0" applyFill="1" applyBorder="1" applyAlignment="1" applyProtection="1">
      <alignment horizontal="left" vertical="center" wrapText="1" indent="1"/>
      <protection locked="0"/>
    </xf>
    <xf numFmtId="0" fontId="0" fillId="0" borderId="0" xfId="0" applyProtection="1">
      <protection locked="0"/>
    </xf>
    <xf numFmtId="0" fontId="18" fillId="0" borderId="62" xfId="0" applyFont="1" applyFill="1" applyBorder="1" applyAlignment="1" applyProtection="1"/>
    <xf numFmtId="0" fontId="13" fillId="0" borderId="54" xfId="0" applyFont="1" applyFill="1" applyBorder="1" applyAlignment="1" applyProtection="1">
      <alignment vertical="center"/>
    </xf>
    <xf numFmtId="0" fontId="13" fillId="0" borderId="62" xfId="0" applyFont="1" applyFill="1" applyBorder="1" applyAlignment="1" applyProtection="1">
      <alignment vertical="center"/>
    </xf>
    <xf numFmtId="0" fontId="13" fillId="0" borderId="62" xfId="0" applyFont="1" applyFill="1" applyBorder="1" applyAlignment="1" applyProtection="1">
      <alignment horizontal="center" vertical="top"/>
    </xf>
    <xf numFmtId="0" fontId="13" fillId="0" borderId="80" xfId="0" applyFont="1" applyFill="1" applyBorder="1" applyAlignment="1" applyProtection="1">
      <alignment horizontal="center" vertical="top"/>
    </xf>
    <xf numFmtId="0" fontId="13" fillId="0" borderId="62" xfId="0" applyFont="1" applyFill="1" applyBorder="1" applyAlignment="1" applyProtection="1">
      <alignment vertical="top"/>
    </xf>
    <xf numFmtId="0" fontId="13" fillId="0" borderId="54" xfId="0" applyFont="1" applyFill="1" applyBorder="1" applyAlignment="1" applyProtection="1">
      <alignment vertical="top"/>
    </xf>
    <xf numFmtId="0" fontId="12" fillId="0" borderId="79" xfId="0" applyFont="1" applyFill="1" applyBorder="1" applyProtection="1"/>
    <xf numFmtId="0" fontId="12" fillId="0" borderId="102" xfId="0" applyFont="1" applyFill="1" applyBorder="1" applyProtection="1"/>
    <xf numFmtId="0" fontId="12" fillId="0" borderId="101" xfId="0" applyFont="1" applyFill="1" applyBorder="1" applyProtection="1"/>
    <xf numFmtId="0" fontId="12" fillId="0" borderId="80" xfId="0" applyFont="1" applyFill="1" applyBorder="1" applyProtection="1"/>
    <xf numFmtId="0" fontId="12" fillId="0" borderId="62" xfId="0" applyFont="1" applyFill="1" applyBorder="1" applyProtection="1"/>
    <xf numFmtId="0" fontId="12" fillId="0" borderId="0" xfId="0" applyFont="1" applyBorder="1" applyAlignment="1" applyProtection="1"/>
    <xf numFmtId="0" fontId="12" fillId="3" borderId="45" xfId="0" applyFont="1" applyFill="1" applyBorder="1" applyAlignment="1" applyProtection="1"/>
    <xf numFmtId="0" fontId="12" fillId="0" borderId="38" xfId="0" applyFont="1" applyBorder="1" applyAlignment="1" applyProtection="1">
      <alignment vertical="center"/>
    </xf>
    <xf numFmtId="0" fontId="12" fillId="0" borderId="53" xfId="0" applyFont="1" applyBorder="1" applyAlignment="1" applyProtection="1"/>
    <xf numFmtId="0" fontId="12" fillId="3" borderId="51" xfId="0" applyFont="1" applyFill="1" applyBorder="1" applyAlignment="1" applyProtection="1"/>
    <xf numFmtId="0" fontId="12" fillId="0" borderId="46" xfId="0" applyFont="1" applyBorder="1" applyAlignment="1" applyProtection="1"/>
    <xf numFmtId="2" fontId="12" fillId="3" borderId="0" xfId="0" applyNumberFormat="1" applyFont="1" applyFill="1" applyBorder="1" applyAlignment="1" applyProtection="1"/>
    <xf numFmtId="0" fontId="12" fillId="0" borderId="35" xfId="0" applyFont="1" applyBorder="1" applyAlignment="1" applyProtection="1"/>
    <xf numFmtId="0" fontId="15" fillId="3" borderId="90" xfId="0" applyFont="1" applyFill="1" applyBorder="1" applyAlignment="1" applyProtection="1">
      <alignment horizontal="left" vertical="center" indent="1"/>
      <protection locked="0"/>
    </xf>
    <xf numFmtId="166" fontId="15" fillId="3" borderId="70" xfId="0" applyNumberFormat="1" applyFont="1" applyFill="1" applyBorder="1" applyAlignment="1" applyProtection="1">
      <alignment horizontal="left" vertical="center" indent="1"/>
      <protection locked="0"/>
    </xf>
    <xf numFmtId="0" fontId="12" fillId="0" borderId="1" xfId="0" applyFont="1" applyFill="1" applyBorder="1" applyAlignment="1" applyProtection="1">
      <alignment horizontal="center" vertical="center" wrapText="1"/>
      <protection locked="0"/>
    </xf>
    <xf numFmtId="0" fontId="12" fillId="0" borderId="85" xfId="0" applyFont="1" applyFill="1" applyBorder="1" applyAlignment="1" applyProtection="1">
      <alignment horizontal="center" vertical="center" wrapText="1"/>
      <protection locked="0"/>
    </xf>
    <xf numFmtId="3" fontId="15" fillId="4" borderId="1" xfId="0" applyNumberFormat="1" applyFont="1" applyFill="1" applyBorder="1" applyAlignment="1" applyProtection="1">
      <alignment horizontal="center"/>
    </xf>
    <xf numFmtId="3" fontId="15" fillId="3" borderId="0" xfId="0" applyNumberFormat="1" applyFont="1" applyFill="1" applyBorder="1" applyAlignment="1" applyProtection="1">
      <alignment horizontal="center"/>
    </xf>
    <xf numFmtId="0" fontId="0" fillId="4" borderId="103" xfId="0" applyFill="1" applyBorder="1" applyAlignment="1" applyProtection="1">
      <alignment horizontal="center"/>
    </xf>
    <xf numFmtId="0" fontId="13" fillId="10" borderId="7" xfId="0" applyFont="1" applyFill="1" applyBorder="1" applyAlignment="1" applyProtection="1">
      <alignment horizontal="center"/>
    </xf>
    <xf numFmtId="3" fontId="13" fillId="10" borderId="104" xfId="0" applyNumberFormat="1" applyFont="1" applyFill="1" applyBorder="1" applyAlignment="1" applyProtection="1">
      <alignment horizontal="center" wrapText="1"/>
    </xf>
    <xf numFmtId="4" fontId="23" fillId="11" borderId="105" xfId="0" applyNumberFormat="1" applyFont="1" applyFill="1" applyBorder="1" applyAlignment="1" applyProtection="1">
      <alignment horizontal="center" vertical="center" wrapText="1"/>
    </xf>
    <xf numFmtId="0" fontId="0" fillId="3" borderId="0" xfId="0" applyFill="1" applyProtection="1">
      <protection locked="0"/>
    </xf>
    <xf numFmtId="0" fontId="0" fillId="0" borderId="106" xfId="0" applyBorder="1" applyAlignment="1" applyProtection="1">
      <alignment horizontal="center" wrapText="1"/>
      <protection locked="0"/>
    </xf>
    <xf numFmtId="0" fontId="0" fillId="0" borderId="107" xfId="0" quotePrefix="1" applyBorder="1" applyAlignment="1" applyProtection="1">
      <alignment horizontal="center"/>
      <protection locked="0"/>
    </xf>
    <xf numFmtId="0" fontId="13" fillId="10" borderId="108" xfId="0" applyFont="1" applyFill="1" applyBorder="1" applyAlignment="1" applyProtection="1">
      <alignment horizontal="center" wrapText="1"/>
    </xf>
    <xf numFmtId="0" fontId="13" fillId="10" borderId="109" xfId="0" applyFont="1" applyFill="1" applyBorder="1" applyAlignment="1" applyProtection="1">
      <alignment horizontal="center" wrapText="1"/>
    </xf>
    <xf numFmtId="0" fontId="0" fillId="0" borderId="110" xfId="0" applyBorder="1" applyAlignment="1" applyProtection="1">
      <alignment horizontal="center"/>
      <protection locked="0"/>
    </xf>
    <xf numFmtId="0" fontId="0" fillId="0" borderId="106" xfId="0" applyBorder="1" applyAlignment="1" applyProtection="1">
      <alignment horizontal="left" wrapText="1"/>
      <protection locked="0"/>
    </xf>
    <xf numFmtId="0" fontId="0" fillId="0" borderId="111" xfId="0" applyBorder="1" applyAlignment="1" applyProtection="1">
      <alignment horizontal="center" wrapText="1"/>
      <protection locked="0"/>
    </xf>
    <xf numFmtId="0" fontId="0" fillId="0" borderId="112" xfId="0" applyBorder="1" applyAlignment="1" applyProtection="1">
      <alignment horizontal="center" wrapText="1"/>
      <protection locked="0"/>
    </xf>
    <xf numFmtId="0" fontId="0" fillId="0" borderId="112" xfId="0" applyBorder="1" applyAlignment="1" applyProtection="1">
      <alignment horizontal="left" wrapText="1"/>
      <protection locked="0"/>
    </xf>
    <xf numFmtId="0" fontId="0" fillId="11" borderId="98" xfId="0" applyFill="1" applyBorder="1" applyAlignment="1" applyProtection="1">
      <alignment horizontal="center" vertical="center"/>
    </xf>
    <xf numFmtId="0" fontId="0" fillId="11" borderId="103" xfId="0" applyFill="1" applyBorder="1" applyAlignment="1" applyProtection="1">
      <alignment horizontal="center"/>
    </xf>
    <xf numFmtId="0" fontId="6" fillId="0" borderId="10" xfId="0" applyFont="1" applyFill="1" applyBorder="1" applyAlignment="1" applyProtection="1">
      <alignment horizontal="left" vertical="center"/>
    </xf>
    <xf numFmtId="0" fontId="71" fillId="0" borderId="10" xfId="0" applyFont="1" applyFill="1" applyBorder="1" applyAlignment="1" applyProtection="1">
      <alignment horizontal="left" vertical="center"/>
    </xf>
    <xf numFmtId="0" fontId="12" fillId="3" borderId="51" xfId="0" applyFont="1" applyFill="1" applyBorder="1" applyAlignment="1" applyProtection="1">
      <alignment horizontal="center" vertical="center"/>
    </xf>
    <xf numFmtId="3" fontId="13" fillId="3" borderId="47" xfId="0" applyNumberFormat="1" applyFont="1" applyFill="1" applyBorder="1" applyAlignment="1" applyProtection="1">
      <alignment vertical="top"/>
    </xf>
    <xf numFmtId="3" fontId="13" fillId="3" borderId="54" xfId="0" applyNumberFormat="1" applyFont="1" applyFill="1" applyBorder="1" applyAlignment="1" applyProtection="1">
      <alignment horizontal="right"/>
    </xf>
    <xf numFmtId="0" fontId="44" fillId="0" borderId="33" xfId="0" applyFont="1" applyBorder="1" applyAlignment="1" applyProtection="1">
      <alignment vertical="center"/>
    </xf>
    <xf numFmtId="0" fontId="11" fillId="0" borderId="98" xfId="0" applyFont="1" applyFill="1" applyBorder="1" applyAlignment="1" applyProtection="1">
      <alignment vertical="center"/>
    </xf>
    <xf numFmtId="0" fontId="0" fillId="0" borderId="113" xfId="0" applyFill="1" applyBorder="1" applyAlignment="1" applyProtection="1"/>
    <xf numFmtId="0" fontId="15" fillId="4" borderId="114" xfId="0" applyNumberFormat="1" applyFont="1" applyFill="1" applyBorder="1" applyAlignment="1" applyProtection="1">
      <alignment horizontal="center" vertical="center" wrapText="1"/>
    </xf>
    <xf numFmtId="0" fontId="12" fillId="3" borderId="86" xfId="0" applyFont="1" applyFill="1" applyBorder="1" applyAlignment="1" applyProtection="1">
      <alignment horizontal="center" vertical="center" wrapText="1"/>
      <protection locked="0"/>
    </xf>
    <xf numFmtId="0" fontId="12" fillId="3" borderId="87" xfId="0" applyFont="1" applyFill="1" applyBorder="1" applyAlignment="1" applyProtection="1">
      <alignment vertical="center"/>
      <protection locked="0"/>
    </xf>
    <xf numFmtId="0" fontId="15" fillId="3" borderId="12" xfId="0" applyFont="1" applyFill="1" applyBorder="1" applyAlignment="1" applyProtection="1">
      <alignment horizontal="left" vertical="center" indent="1"/>
      <protection locked="0"/>
    </xf>
    <xf numFmtId="3" fontId="15" fillId="3" borderId="28" xfId="0" applyNumberFormat="1" applyFont="1" applyFill="1" applyBorder="1" applyAlignment="1" applyProtection="1">
      <alignment horizontal="center" vertical="center"/>
      <protection locked="0"/>
    </xf>
    <xf numFmtId="3" fontId="15" fillId="4" borderId="28" xfId="0" applyNumberFormat="1" applyFont="1" applyFill="1" applyBorder="1" applyAlignment="1" applyProtection="1">
      <alignment horizontal="center" vertical="center"/>
    </xf>
    <xf numFmtId="3" fontId="15" fillId="3" borderId="85" xfId="0" applyNumberFormat="1" applyFont="1" applyFill="1" applyBorder="1" applyAlignment="1" applyProtection="1">
      <alignment horizontal="center" vertical="center"/>
      <protection locked="0"/>
    </xf>
    <xf numFmtId="3" fontId="15" fillId="4" borderId="85" xfId="0" applyNumberFormat="1" applyFont="1" applyFill="1" applyBorder="1" applyAlignment="1" applyProtection="1">
      <alignment horizontal="center" vertical="center"/>
    </xf>
    <xf numFmtId="0" fontId="21" fillId="3" borderId="0" xfId="0" applyFont="1" applyFill="1" applyBorder="1" applyAlignment="1" applyProtection="1">
      <alignment horizontal="left" vertical="center"/>
    </xf>
    <xf numFmtId="0" fontId="36" fillId="3" borderId="0" xfId="0" applyFont="1" applyFill="1" applyAlignment="1" applyProtection="1"/>
    <xf numFmtId="0" fontId="2" fillId="3" borderId="0" xfId="0" applyFont="1" applyFill="1" applyAlignment="1" applyProtection="1">
      <alignment vertical="center"/>
    </xf>
    <xf numFmtId="0" fontId="2" fillId="3" borderId="0" xfId="0" applyFont="1" applyFill="1" applyBorder="1" applyProtection="1"/>
    <xf numFmtId="0" fontId="2" fillId="3" borderId="0" xfId="0" applyFont="1" applyFill="1" applyProtection="1"/>
    <xf numFmtId="0" fontId="0" fillId="3" borderId="32" xfId="0" applyFill="1" applyBorder="1" applyProtection="1"/>
    <xf numFmtId="0" fontId="0" fillId="3" borderId="32" xfId="0" applyFill="1" applyBorder="1" applyAlignment="1" applyProtection="1">
      <alignment vertical="center"/>
    </xf>
    <xf numFmtId="0" fontId="15" fillId="3" borderId="32" xfId="0" applyFont="1" applyFill="1" applyBorder="1" applyAlignment="1" applyProtection="1">
      <alignment vertical="center"/>
    </xf>
    <xf numFmtId="0" fontId="0" fillId="3" borderId="47" xfId="0" applyFill="1" applyBorder="1" applyProtection="1"/>
    <xf numFmtId="0" fontId="0" fillId="3" borderId="51" xfId="0" applyFill="1" applyBorder="1" applyProtection="1"/>
    <xf numFmtId="0" fontId="2" fillId="3" borderId="0" xfId="13" applyFill="1" applyProtection="1"/>
    <xf numFmtId="0" fontId="12" fillId="3" borderId="0" xfId="13" applyFont="1" applyFill="1" applyProtection="1"/>
    <xf numFmtId="0" fontId="12" fillId="3" borderId="0" xfId="13" applyFont="1" applyFill="1" applyBorder="1" applyAlignment="1" applyProtection="1"/>
    <xf numFmtId="0" fontId="12" fillId="3" borderId="0" xfId="13" applyFont="1" applyFill="1" applyBorder="1" applyProtection="1"/>
    <xf numFmtId="0" fontId="6" fillId="3" borderId="33" xfId="0" applyFont="1" applyFill="1" applyBorder="1" applyAlignment="1" applyProtection="1">
      <alignment horizontal="left"/>
    </xf>
    <xf numFmtId="0" fontId="17" fillId="3" borderId="33" xfId="0" applyFont="1" applyFill="1" applyBorder="1" applyAlignment="1" applyProtection="1">
      <alignment horizontal="left"/>
    </xf>
    <xf numFmtId="0" fontId="12" fillId="3" borderId="45" xfId="0" applyFont="1" applyFill="1" applyBorder="1" applyAlignment="1" applyProtection="1">
      <alignment horizontal="left" vertical="center" wrapText="1"/>
    </xf>
    <xf numFmtId="0" fontId="15" fillId="3" borderId="45" xfId="0" applyFont="1" applyFill="1" applyBorder="1" applyAlignment="1" applyProtection="1">
      <alignment horizontal="left" vertical="center" wrapText="1"/>
    </xf>
    <xf numFmtId="3" fontId="12" fillId="4" borderId="28" xfId="0" applyNumberFormat="1" applyFont="1" applyFill="1" applyBorder="1" applyAlignment="1" applyProtection="1">
      <alignment horizontal="center" vertical="center"/>
    </xf>
    <xf numFmtId="3" fontId="12" fillId="3" borderId="28" xfId="0" applyNumberFormat="1" applyFont="1" applyFill="1" applyBorder="1" applyAlignment="1" applyProtection="1">
      <alignment horizontal="center" vertical="center"/>
      <protection locked="0"/>
    </xf>
    <xf numFmtId="3" fontId="12" fillId="3" borderId="1" xfId="0" applyNumberFormat="1" applyFont="1" applyFill="1" applyBorder="1" applyAlignment="1" applyProtection="1">
      <alignment horizontal="center" vertical="center"/>
      <protection locked="0"/>
    </xf>
    <xf numFmtId="3" fontId="12" fillId="4" borderId="75" xfId="0" applyNumberFormat="1" applyFont="1" applyFill="1" applyBorder="1" applyAlignment="1" applyProtection="1">
      <alignment horizontal="center" vertical="center"/>
    </xf>
    <xf numFmtId="3" fontId="12" fillId="3" borderId="75" xfId="0" applyNumberFormat="1" applyFont="1" applyFill="1" applyBorder="1" applyAlignment="1" applyProtection="1">
      <alignment horizontal="center" vertical="center"/>
      <protection locked="0"/>
    </xf>
    <xf numFmtId="3" fontId="12" fillId="4" borderId="115" xfId="0" applyNumberFormat="1" applyFont="1" applyFill="1" applyBorder="1" applyAlignment="1" applyProtection="1">
      <alignment horizontal="center" vertical="center"/>
    </xf>
    <xf numFmtId="3" fontId="12" fillId="3" borderId="115" xfId="0" applyNumberFormat="1" applyFont="1" applyFill="1" applyBorder="1" applyAlignment="1" applyProtection="1">
      <alignment horizontal="center" vertical="center"/>
      <protection locked="0"/>
    </xf>
    <xf numFmtId="3" fontId="12" fillId="4" borderId="26" xfId="0" applyNumberFormat="1" applyFont="1" applyFill="1" applyBorder="1" applyAlignment="1" applyProtection="1">
      <alignment horizontal="center" vertical="center"/>
    </xf>
    <xf numFmtId="3" fontId="12" fillId="3" borderId="26" xfId="0" applyNumberFormat="1" applyFont="1" applyFill="1" applyBorder="1" applyAlignment="1" applyProtection="1">
      <alignment horizontal="center" vertical="center"/>
      <protection locked="0"/>
    </xf>
    <xf numFmtId="3" fontId="12" fillId="3" borderId="116" xfId="0" applyNumberFormat="1" applyFont="1" applyFill="1" applyBorder="1" applyAlignment="1" applyProtection="1">
      <alignment horizontal="center" vertical="center"/>
      <protection locked="0"/>
    </xf>
    <xf numFmtId="168" fontId="2" fillId="4" borderId="69" xfId="0" applyNumberFormat="1" applyFont="1" applyFill="1" applyBorder="1" applyAlignment="1" applyProtection="1">
      <alignment horizontal="center" vertical="center"/>
    </xf>
    <xf numFmtId="0" fontId="8" fillId="3" borderId="117" xfId="0" applyFont="1" applyFill="1" applyBorder="1" applyAlignment="1" applyProtection="1">
      <alignment horizontal="center" vertical="center"/>
    </xf>
    <xf numFmtId="0" fontId="8" fillId="3" borderId="0" xfId="0" applyFont="1" applyFill="1" applyBorder="1" applyAlignment="1" applyProtection="1">
      <alignment horizontal="center" vertical="center"/>
    </xf>
    <xf numFmtId="40" fontId="8" fillId="3" borderId="0" xfId="0" applyNumberFormat="1" applyFont="1" applyFill="1" applyBorder="1" applyAlignment="1" applyProtection="1">
      <alignment horizontal="center" vertical="center"/>
    </xf>
    <xf numFmtId="168" fontId="8" fillId="4" borderId="69" xfId="0" applyNumberFormat="1" applyFont="1" applyFill="1" applyBorder="1" applyAlignment="1" applyProtection="1">
      <alignment horizontal="center" vertical="center"/>
    </xf>
    <xf numFmtId="0" fontId="8" fillId="0" borderId="40" xfId="0" applyFont="1" applyFill="1" applyBorder="1" applyAlignment="1" applyProtection="1">
      <alignment horizontal="center" vertical="center"/>
    </xf>
    <xf numFmtId="0" fontId="8" fillId="3" borderId="45" xfId="0" applyFont="1" applyFill="1" applyBorder="1" applyAlignment="1" applyProtection="1">
      <alignment horizontal="center" vertical="center"/>
    </xf>
    <xf numFmtId="0" fontId="2" fillId="3" borderId="117" xfId="0" applyFont="1" applyFill="1" applyBorder="1" applyAlignment="1" applyProtection="1">
      <alignment horizontal="center" vertical="center"/>
    </xf>
    <xf numFmtId="3" fontId="12" fillId="4" borderId="19" xfId="0" applyNumberFormat="1" applyFont="1" applyFill="1" applyBorder="1" applyAlignment="1" applyProtection="1">
      <alignment horizontal="center" vertical="center"/>
    </xf>
    <xf numFmtId="3" fontId="12" fillId="4" borderId="21" xfId="0" applyNumberFormat="1" applyFont="1" applyFill="1" applyBorder="1" applyAlignment="1" applyProtection="1">
      <alignment horizontal="center" vertical="center"/>
    </xf>
    <xf numFmtId="3" fontId="12" fillId="0" borderId="21" xfId="0" applyNumberFormat="1" applyFont="1" applyFill="1" applyBorder="1" applyAlignment="1" applyProtection="1">
      <alignment horizontal="center" vertical="center"/>
      <protection locked="0"/>
    </xf>
    <xf numFmtId="3" fontId="12" fillId="4" borderId="24" xfId="0" applyNumberFormat="1" applyFont="1" applyFill="1" applyBorder="1" applyAlignment="1" applyProtection="1">
      <alignment horizontal="center" vertical="center"/>
    </xf>
    <xf numFmtId="3" fontId="12" fillId="0" borderId="24" xfId="0" applyNumberFormat="1" applyFont="1" applyFill="1" applyBorder="1" applyAlignment="1" applyProtection="1">
      <alignment horizontal="center" vertical="center"/>
      <protection locked="0"/>
    </xf>
    <xf numFmtId="0" fontId="13" fillId="3" borderId="50" xfId="0" applyFont="1" applyFill="1" applyBorder="1" applyAlignment="1" applyProtection="1">
      <alignment vertical="center"/>
    </xf>
    <xf numFmtId="0" fontId="2" fillId="3" borderId="39" xfId="0" applyFont="1" applyFill="1" applyBorder="1" applyAlignment="1" applyProtection="1"/>
    <xf numFmtId="0" fontId="12" fillId="3" borderId="40" xfId="0" applyFont="1" applyFill="1" applyBorder="1" applyAlignment="1" applyProtection="1">
      <alignment horizontal="left" indent="1"/>
    </xf>
    <xf numFmtId="0" fontId="12" fillId="3" borderId="49" xfId="0" applyFont="1" applyFill="1" applyBorder="1" applyAlignment="1" applyProtection="1">
      <alignment horizontal="left" indent="1"/>
    </xf>
    <xf numFmtId="0" fontId="12" fillId="3" borderId="39" xfId="0" applyFont="1" applyFill="1" applyBorder="1" applyAlignment="1" applyProtection="1">
      <alignment horizontal="left" indent="1"/>
    </xf>
    <xf numFmtId="0" fontId="12" fillId="3" borderId="45" xfId="0" applyFont="1" applyFill="1" applyBorder="1" applyProtection="1"/>
    <xf numFmtId="0" fontId="12" fillId="3" borderId="41" xfId="0" applyFont="1" applyFill="1" applyBorder="1" applyProtection="1"/>
    <xf numFmtId="0" fontId="2" fillId="3" borderId="38" xfId="0" applyFont="1" applyFill="1" applyBorder="1" applyAlignment="1" applyProtection="1"/>
    <xf numFmtId="0" fontId="2" fillId="3" borderId="0" xfId="0" applyFont="1" applyFill="1" applyBorder="1" applyAlignment="1" applyProtection="1"/>
    <xf numFmtId="0" fontId="12" fillId="3" borderId="38" xfId="0" applyFont="1" applyFill="1" applyBorder="1" applyAlignment="1" applyProtection="1">
      <alignment horizontal="left" indent="1"/>
    </xf>
    <xf numFmtId="0" fontId="12" fillId="3" borderId="41" xfId="0" applyFont="1" applyFill="1" applyBorder="1" applyAlignment="1" applyProtection="1">
      <alignment horizontal="left" indent="1"/>
    </xf>
    <xf numFmtId="0" fontId="12" fillId="3" borderId="32" xfId="0" applyFont="1" applyFill="1" applyBorder="1" applyAlignment="1" applyProtection="1">
      <alignment horizontal="left" indent="1"/>
    </xf>
    <xf numFmtId="0" fontId="12" fillId="3" borderId="47" xfId="0" applyFont="1" applyFill="1" applyBorder="1" applyProtection="1"/>
    <xf numFmtId="0" fontId="0" fillId="3" borderId="99" xfId="0" applyFill="1" applyBorder="1" applyProtection="1"/>
    <xf numFmtId="0" fontId="13" fillId="3" borderId="0" xfId="0" applyFont="1" applyFill="1" applyBorder="1" applyAlignment="1" applyProtection="1">
      <alignment horizontal="center"/>
      <protection locked="0"/>
    </xf>
    <xf numFmtId="3" fontId="12" fillId="3" borderId="0" xfId="0" applyNumberFormat="1" applyFont="1" applyFill="1" applyProtection="1"/>
    <xf numFmtId="3" fontId="12" fillId="0" borderId="0" xfId="0" applyNumberFormat="1" applyFont="1" applyProtection="1"/>
    <xf numFmtId="0" fontId="12" fillId="0" borderId="33" xfId="0" applyFont="1" applyBorder="1" applyProtection="1"/>
    <xf numFmtId="3" fontId="13" fillId="0" borderId="54" xfId="0" applyNumberFormat="1" applyFont="1" applyBorder="1" applyAlignment="1" applyProtection="1">
      <alignment horizontal="center"/>
    </xf>
    <xf numFmtId="3" fontId="12" fillId="3" borderId="27" xfId="0" applyNumberFormat="1" applyFont="1" applyFill="1" applyBorder="1" applyAlignment="1" applyProtection="1"/>
    <xf numFmtId="0" fontId="12" fillId="0" borderId="118" xfId="0" applyFont="1" applyFill="1" applyBorder="1" applyAlignment="1" applyProtection="1"/>
    <xf numFmtId="0" fontId="12" fillId="0" borderId="66" xfId="0" applyFont="1" applyBorder="1" applyAlignment="1" applyProtection="1"/>
    <xf numFmtId="0" fontId="12" fillId="0" borderId="119" xfId="0" applyFont="1" applyFill="1" applyBorder="1" applyAlignment="1" applyProtection="1"/>
    <xf numFmtId="0" fontId="12" fillId="0" borderId="34" xfId="0" quotePrefix="1" applyFont="1" applyFill="1" applyBorder="1" applyAlignment="1" applyProtection="1"/>
    <xf numFmtId="0" fontId="12" fillId="0" borderId="0" xfId="0" applyFont="1" applyAlignment="1" applyProtection="1">
      <alignment horizontal="left" indent="1"/>
    </xf>
    <xf numFmtId="3" fontId="13" fillId="4" borderId="54" xfId="0" applyNumberFormat="1" applyFont="1" applyFill="1" applyBorder="1" applyAlignment="1" applyProtection="1"/>
    <xf numFmtId="0" fontId="12" fillId="3" borderId="75" xfId="0" applyFont="1" applyFill="1" applyBorder="1" applyAlignment="1" applyProtection="1"/>
    <xf numFmtId="38" fontId="12" fillId="3" borderId="75" xfId="0" applyNumberFormat="1" applyFont="1" applyFill="1" applyBorder="1" applyProtection="1"/>
    <xf numFmtId="38" fontId="12" fillId="3" borderId="75" xfId="0" applyNumberFormat="1" applyFont="1" applyFill="1" applyBorder="1" applyAlignment="1" applyProtection="1"/>
    <xf numFmtId="0" fontId="12" fillId="3" borderId="1" xfId="0" applyFont="1" applyFill="1" applyBorder="1" applyAlignment="1" applyProtection="1"/>
    <xf numFmtId="38" fontId="12" fillId="3" borderId="1" xfId="0" applyNumberFormat="1" applyFont="1" applyFill="1" applyBorder="1" applyProtection="1"/>
    <xf numFmtId="38" fontId="12" fillId="3" borderId="1" xfId="0" applyNumberFormat="1" applyFont="1" applyFill="1" applyBorder="1" applyAlignment="1" applyProtection="1"/>
    <xf numFmtId="0" fontId="12" fillId="3" borderId="28" xfId="0" applyFont="1" applyFill="1" applyBorder="1" applyAlignment="1" applyProtection="1"/>
    <xf numFmtId="38" fontId="12" fillId="3" borderId="28" xfId="0" applyNumberFormat="1" applyFont="1" applyFill="1" applyBorder="1" applyProtection="1"/>
    <xf numFmtId="38" fontId="12" fillId="3" borderId="28" xfId="0" applyNumberFormat="1" applyFont="1" applyFill="1" applyBorder="1" applyAlignment="1" applyProtection="1"/>
    <xf numFmtId="0" fontId="12" fillId="9" borderId="0" xfId="0" applyFont="1" applyFill="1" applyBorder="1" applyProtection="1"/>
    <xf numFmtId="0" fontId="12" fillId="9" borderId="0" xfId="0" applyFont="1" applyFill="1" applyBorder="1" applyAlignment="1" applyProtection="1">
      <alignment horizontal="center"/>
    </xf>
    <xf numFmtId="3" fontId="12" fillId="4" borderId="1" xfId="0" applyNumberFormat="1" applyFont="1" applyFill="1" applyBorder="1" applyProtection="1"/>
    <xf numFmtId="3" fontId="12" fillId="3" borderId="0" xfId="0" applyNumberFormat="1" applyFont="1" applyFill="1" applyBorder="1" applyAlignment="1" applyProtection="1"/>
    <xf numFmtId="3" fontId="12" fillId="3" borderId="0" xfId="0" applyNumberFormat="1" applyFont="1" applyFill="1" applyBorder="1" applyProtection="1"/>
    <xf numFmtId="0" fontId="12" fillId="4" borderId="93" xfId="0" applyFont="1" applyFill="1" applyBorder="1" applyAlignment="1" applyProtection="1">
      <alignment horizontal="center" vertical="center" wrapText="1"/>
    </xf>
    <xf numFmtId="170" fontId="12" fillId="4" borderId="1" xfId="0" applyNumberFormat="1"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11" fillId="0" borderId="53" xfId="0" applyFont="1" applyFill="1" applyBorder="1" applyAlignment="1" applyProtection="1">
      <alignment horizontal="center"/>
    </xf>
    <xf numFmtId="0" fontId="2" fillId="3" borderId="35" xfId="0" applyFont="1" applyFill="1" applyBorder="1" applyAlignment="1" applyProtection="1"/>
    <xf numFmtId="0" fontId="12" fillId="3" borderId="0" xfId="0" applyFont="1" applyFill="1" applyBorder="1" applyAlignment="1" applyProtection="1">
      <alignment horizontal="left" indent="1"/>
    </xf>
    <xf numFmtId="0" fontId="12" fillId="3" borderId="35" xfId="0" applyFont="1" applyFill="1" applyBorder="1" applyAlignment="1" applyProtection="1">
      <alignment horizontal="left" indent="1"/>
    </xf>
    <xf numFmtId="0" fontId="12" fillId="3" borderId="35" xfId="0" applyFont="1" applyFill="1" applyBorder="1" applyProtection="1"/>
    <xf numFmtId="0" fontId="0" fillId="3" borderId="46" xfId="0" applyFill="1" applyBorder="1" applyProtection="1"/>
    <xf numFmtId="166" fontId="12" fillId="3" borderId="16" xfId="0" applyNumberFormat="1" applyFont="1" applyFill="1" applyBorder="1" applyAlignment="1" applyProtection="1">
      <alignment horizontal="left" vertical="center" indent="1"/>
      <protection locked="0"/>
    </xf>
    <xf numFmtId="0" fontId="2" fillId="0" borderId="33" xfId="0" applyFont="1" applyBorder="1" applyProtection="1"/>
    <xf numFmtId="0" fontId="0" fillId="0" borderId="0" xfId="0" applyFill="1" applyProtection="1">
      <protection locked="0"/>
    </xf>
    <xf numFmtId="0" fontId="72" fillId="3" borderId="0" xfId="0" applyFont="1" applyFill="1" applyProtection="1">
      <protection locked="0"/>
    </xf>
    <xf numFmtId="0" fontId="72" fillId="3" borderId="0" xfId="0" applyFont="1" applyFill="1" applyProtection="1"/>
    <xf numFmtId="0" fontId="72" fillId="3" borderId="0" xfId="0" applyFont="1" applyFill="1" applyBorder="1" applyAlignment="1" applyProtection="1"/>
    <xf numFmtId="0" fontId="72" fillId="3" borderId="0" xfId="0" applyFont="1" applyFill="1" applyBorder="1" applyProtection="1"/>
    <xf numFmtId="0" fontId="2" fillId="0" borderId="0" xfId="0" applyFont="1" applyFill="1" applyProtection="1">
      <protection locked="0"/>
    </xf>
    <xf numFmtId="0" fontId="2" fillId="3" borderId="0" xfId="0" applyFont="1" applyFill="1" applyProtection="1">
      <protection locked="0"/>
    </xf>
    <xf numFmtId="0" fontId="72" fillId="3" borderId="0" xfId="0" applyFont="1" applyFill="1" applyAlignment="1" applyProtection="1">
      <alignment horizontal="left" indent="1"/>
    </xf>
    <xf numFmtId="0" fontId="72" fillId="3" borderId="0" xfId="0" applyFont="1" applyFill="1" applyBorder="1" applyAlignment="1" applyProtection="1">
      <alignment horizontal="left" wrapText="1" indent="1"/>
      <protection locked="0"/>
    </xf>
    <xf numFmtId="165" fontId="72" fillId="3" borderId="0" xfId="6" applyNumberFormat="1" applyFont="1" applyFill="1" applyProtection="1"/>
    <xf numFmtId="0" fontId="72" fillId="3" borderId="0" xfId="0" applyFont="1" applyFill="1" applyAlignment="1" applyProtection="1">
      <alignment horizontal="left"/>
    </xf>
    <xf numFmtId="165" fontId="72" fillId="3" borderId="0" xfId="6" applyNumberFormat="1" applyFont="1" applyFill="1" applyAlignment="1" applyProtection="1">
      <alignment vertical="center"/>
    </xf>
    <xf numFmtId="0" fontId="72" fillId="3" borderId="0" xfId="0" applyFont="1" applyFill="1" applyAlignment="1" applyProtection="1">
      <alignment vertical="center"/>
    </xf>
    <xf numFmtId="165" fontId="72" fillId="3" borderId="0" xfId="6" applyNumberFormat="1" applyFont="1" applyFill="1" applyAlignment="1" applyProtection="1">
      <alignment horizontal="left"/>
    </xf>
    <xf numFmtId="0" fontId="0" fillId="0" borderId="0" xfId="0" applyAlignment="1" applyProtection="1">
      <alignment vertical="center"/>
      <protection locked="0"/>
    </xf>
    <xf numFmtId="0" fontId="0" fillId="3" borderId="0" xfId="0" applyFill="1" applyAlignment="1" applyProtection="1">
      <alignment vertical="center"/>
      <protection locked="0"/>
    </xf>
    <xf numFmtId="0" fontId="12" fillId="3" borderId="0" xfId="0" applyFont="1" applyFill="1" applyBorder="1" applyAlignment="1" applyProtection="1">
      <alignment horizontal="left" vertical="center" indent="1"/>
    </xf>
    <xf numFmtId="166" fontId="12" fillId="3" borderId="0" xfId="0" applyNumberFormat="1" applyFont="1" applyFill="1" applyBorder="1" applyAlignment="1" applyProtection="1">
      <alignment horizontal="left" vertical="center" indent="1"/>
    </xf>
    <xf numFmtId="0" fontId="0" fillId="3" borderId="0" xfId="0" applyFill="1"/>
    <xf numFmtId="0" fontId="12" fillId="0" borderId="0" xfId="0" applyFont="1" applyFill="1" applyBorder="1" applyAlignment="1" applyProtection="1">
      <alignment horizontal="left" vertical="center" indent="1"/>
    </xf>
    <xf numFmtId="0" fontId="11" fillId="0" borderId="0" xfId="0" applyFont="1" applyFill="1" applyBorder="1" applyAlignment="1" applyProtection="1">
      <alignment horizontal="left" vertical="center"/>
    </xf>
    <xf numFmtId="0" fontId="0" fillId="3" borderId="0" xfId="0" applyFill="1" applyAlignment="1" applyProtection="1">
      <alignment horizontal="left" vertical="center"/>
      <protection locked="0"/>
    </xf>
    <xf numFmtId="0" fontId="0" fillId="3" borderId="0" xfId="0" applyFill="1" applyBorder="1" applyProtection="1">
      <protection locked="0"/>
    </xf>
    <xf numFmtId="165" fontId="63" fillId="3" borderId="0" xfId="6" applyNumberFormat="1" applyFill="1" applyBorder="1" applyProtection="1"/>
    <xf numFmtId="0" fontId="13" fillId="5" borderId="120" xfId="0" applyFont="1" applyFill="1" applyBorder="1" applyAlignment="1" applyProtection="1">
      <alignment horizontal="center" vertical="center" wrapText="1"/>
    </xf>
    <xf numFmtId="3" fontId="15" fillId="4" borderId="3" xfId="0" applyNumberFormat="1" applyFont="1" applyFill="1" applyBorder="1" applyAlignment="1" applyProtection="1">
      <alignment horizontal="center" vertical="center"/>
    </xf>
    <xf numFmtId="0" fontId="13" fillId="5" borderId="120" xfId="0" applyFont="1" applyFill="1" applyBorder="1" applyAlignment="1" applyProtection="1">
      <alignment horizontal="center" vertical="center"/>
    </xf>
    <xf numFmtId="43" fontId="12" fillId="3" borderId="1" xfId="13" applyNumberFormat="1" applyFont="1" applyFill="1" applyBorder="1" applyAlignment="1" applyProtection="1">
      <alignment horizontal="left" vertical="center" wrapText="1"/>
      <protection locked="0"/>
    </xf>
    <xf numFmtId="43" fontId="13" fillId="5" borderId="13" xfId="13" applyNumberFormat="1" applyFont="1" applyFill="1" applyBorder="1" applyAlignment="1" applyProtection="1">
      <alignment vertical="center" wrapText="1"/>
    </xf>
    <xf numFmtId="43" fontId="12" fillId="3" borderId="16" xfId="13" applyNumberFormat="1" applyFont="1" applyFill="1" applyBorder="1" applyAlignment="1" applyProtection="1">
      <alignment horizontal="left" vertical="center" wrapText="1"/>
      <protection locked="0"/>
    </xf>
    <xf numFmtId="43" fontId="13" fillId="5" borderId="4" xfId="13" applyNumberFormat="1" applyFont="1" applyFill="1" applyBorder="1" applyAlignment="1" applyProtection="1">
      <alignment vertical="center" wrapText="1"/>
    </xf>
    <xf numFmtId="43" fontId="13" fillId="5" borderId="96" xfId="13" applyNumberFormat="1" applyFont="1" applyFill="1" applyBorder="1" applyAlignment="1" applyProtection="1">
      <alignment vertical="center" wrapText="1"/>
    </xf>
    <xf numFmtId="43" fontId="13" fillId="5" borderId="69" xfId="13" applyNumberFormat="1" applyFont="1" applyFill="1" applyBorder="1" applyAlignment="1" applyProtection="1">
      <alignment vertical="center" wrapText="1"/>
    </xf>
    <xf numFmtId="0" fontId="13" fillId="3" borderId="116" xfId="0" applyFont="1" applyFill="1" applyBorder="1" applyAlignment="1" applyProtection="1">
      <alignment horizontal="center" vertical="top"/>
    </xf>
    <xf numFmtId="0" fontId="12" fillId="3" borderId="116" xfId="0" applyFont="1" applyFill="1" applyBorder="1" applyAlignment="1" applyProtection="1"/>
    <xf numFmtId="43" fontId="12" fillId="3" borderId="75" xfId="0" applyNumberFormat="1" applyFont="1" applyFill="1" applyBorder="1" applyAlignment="1" applyProtection="1">
      <alignment horizontal="left" vertical="center"/>
      <protection locked="0"/>
    </xf>
    <xf numFmtId="43" fontId="12" fillId="12" borderId="1" xfId="0" applyNumberFormat="1" applyFont="1" applyFill="1" applyBorder="1" applyAlignment="1" applyProtection="1">
      <alignment horizontal="left" vertical="center"/>
      <protection locked="0"/>
    </xf>
    <xf numFmtId="169" fontId="12" fillId="3" borderId="75" xfId="0" applyNumberFormat="1" applyFont="1" applyFill="1" applyBorder="1" applyAlignment="1" applyProtection="1">
      <alignment horizontal="left" vertical="center"/>
      <protection locked="0"/>
    </xf>
    <xf numFmtId="43" fontId="12" fillId="9" borderId="75" xfId="0" applyNumberFormat="1" applyFont="1" applyFill="1" applyBorder="1" applyProtection="1"/>
    <xf numFmtId="43" fontId="12" fillId="9" borderId="1" xfId="0" applyNumberFormat="1" applyFont="1" applyFill="1" applyBorder="1" applyProtection="1"/>
    <xf numFmtId="43" fontId="12" fillId="13" borderId="75" xfId="0" applyNumberFormat="1" applyFont="1" applyFill="1" applyBorder="1" applyAlignment="1" applyProtection="1">
      <alignment horizontal="left" vertical="center"/>
      <protection locked="0"/>
    </xf>
    <xf numFmtId="169" fontId="12" fillId="12" borderId="1" xfId="0" applyNumberFormat="1" applyFont="1" applyFill="1" applyBorder="1" applyAlignment="1" applyProtection="1">
      <alignment horizontal="right" vertical="center"/>
      <protection locked="0"/>
    </xf>
    <xf numFmtId="3" fontId="12" fillId="0" borderId="102" xfId="0" applyNumberFormat="1" applyFont="1" applyFill="1" applyBorder="1" applyAlignment="1" applyProtection="1">
      <alignment horizontal="right"/>
      <protection locked="0"/>
    </xf>
    <xf numFmtId="15" fontId="12" fillId="3" borderId="1" xfId="0" applyNumberFormat="1" applyFont="1" applyFill="1" applyBorder="1" applyAlignment="1" applyProtection="1">
      <alignment horizontal="center" vertical="center"/>
      <protection locked="0"/>
    </xf>
    <xf numFmtId="0" fontId="14" fillId="4" borderId="121" xfId="0" applyFont="1" applyFill="1" applyBorder="1" applyAlignment="1" applyProtection="1">
      <alignment vertical="center"/>
    </xf>
    <xf numFmtId="0" fontId="17" fillId="2" borderId="11" xfId="0" applyFont="1" applyFill="1" applyBorder="1" applyAlignment="1" applyProtection="1">
      <alignment horizontal="left" vertical="center"/>
    </xf>
    <xf numFmtId="0" fontId="17" fillId="2" borderId="0" xfId="0" applyFont="1" applyFill="1" applyBorder="1" applyAlignment="1" applyProtection="1">
      <alignment horizontal="left" vertical="center"/>
    </xf>
    <xf numFmtId="0" fontId="12" fillId="0" borderId="4" xfId="0" applyFont="1" applyFill="1" applyBorder="1" applyAlignment="1" applyProtection="1">
      <alignment horizontal="left" vertical="center" wrapText="1"/>
      <protection locked="0"/>
    </xf>
    <xf numFmtId="167" fontId="12" fillId="0" borderId="4" xfId="0" applyNumberFormat="1" applyFont="1" applyFill="1" applyBorder="1" applyAlignment="1" applyProtection="1">
      <alignment horizontal="left" vertical="center" wrapText="1"/>
      <protection locked="0"/>
    </xf>
    <xf numFmtId="167" fontId="12" fillId="0" borderId="96" xfId="0" applyNumberFormat="1" applyFont="1" applyFill="1" applyBorder="1" applyAlignment="1" applyProtection="1">
      <alignment horizontal="left" vertical="center" wrapText="1"/>
      <protection locked="0"/>
    </xf>
    <xf numFmtId="3" fontId="12" fillId="0" borderId="0" xfId="0" applyNumberFormat="1" applyFont="1" applyFill="1" applyBorder="1" applyAlignment="1" applyProtection="1">
      <alignment horizontal="right"/>
      <protection locked="0"/>
    </xf>
    <xf numFmtId="0" fontId="0" fillId="3" borderId="1" xfId="0" applyFill="1" applyBorder="1" applyAlignment="1" applyProtection="1">
      <alignment horizontal="center" vertical="center"/>
      <protection locked="0"/>
    </xf>
    <xf numFmtId="0" fontId="12" fillId="14" borderId="1" xfId="0" applyNumberFormat="1" applyFont="1" applyFill="1" applyBorder="1" applyAlignment="1" applyProtection="1">
      <alignment horizontal="center" vertical="center" wrapText="1"/>
    </xf>
    <xf numFmtId="0" fontId="15" fillId="0" borderId="68" xfId="0" applyFont="1" applyFill="1" applyBorder="1" applyAlignment="1" applyProtection="1">
      <alignment horizontal="left" vertical="center" wrapText="1" indent="1"/>
      <protection locked="0"/>
    </xf>
    <xf numFmtId="167" fontId="12" fillId="4" borderId="122" xfId="0" applyNumberFormat="1" applyFont="1" applyFill="1" applyBorder="1" applyAlignment="1" applyProtection="1">
      <alignment horizontal="right" vertical="center"/>
    </xf>
    <xf numFmtId="167" fontId="12" fillId="14" borderId="122" xfId="0" applyNumberFormat="1" applyFont="1" applyFill="1" applyBorder="1" applyAlignment="1" applyProtection="1">
      <alignment horizontal="right" vertical="center"/>
    </xf>
    <xf numFmtId="0" fontId="13" fillId="4" borderId="12" xfId="13" applyFont="1" applyFill="1" applyBorder="1" applyAlignment="1" applyProtection="1">
      <alignment wrapText="1"/>
    </xf>
    <xf numFmtId="0" fontId="9" fillId="3" borderId="0" xfId="13" applyFont="1" applyFill="1" applyProtection="1"/>
    <xf numFmtId="0" fontId="12" fillId="0" borderId="0" xfId="13" applyFont="1" applyFill="1" applyProtection="1"/>
    <xf numFmtId="0" fontId="13" fillId="4" borderId="1" xfId="13" applyFont="1" applyFill="1" applyBorder="1" applyAlignment="1" applyProtection="1">
      <alignment vertical="center" wrapText="1"/>
    </xf>
    <xf numFmtId="0" fontId="12" fillId="3" borderId="0" xfId="13" applyFont="1" applyFill="1" applyAlignment="1" applyProtection="1">
      <alignment horizontal="left"/>
    </xf>
    <xf numFmtId="0" fontId="2" fillId="3" borderId="0" xfId="13" applyFill="1" applyAlignment="1" applyProtection="1">
      <alignment horizontal="left"/>
    </xf>
    <xf numFmtId="0" fontId="12" fillId="3" borderId="1" xfId="13" applyFont="1" applyFill="1" applyBorder="1" applyAlignment="1" applyProtection="1">
      <alignment horizontal="left" vertical="center"/>
    </xf>
    <xf numFmtId="0" fontId="12" fillId="3" borderId="0" xfId="13" applyFont="1" applyFill="1" applyBorder="1" applyAlignment="1" applyProtection="1">
      <alignment horizontal="left"/>
    </xf>
    <xf numFmtId="0" fontId="12" fillId="3" borderId="0" xfId="13" applyFont="1" applyFill="1" applyBorder="1" applyAlignment="1" applyProtection="1">
      <alignment vertical="center"/>
    </xf>
    <xf numFmtId="43" fontId="12" fillId="3" borderId="0" xfId="13" applyNumberFormat="1" applyFont="1" applyFill="1" applyBorder="1" applyAlignment="1" applyProtection="1">
      <alignment horizontal="left" vertical="center" wrapText="1"/>
      <protection locked="0"/>
    </xf>
    <xf numFmtId="0" fontId="8" fillId="4" borderId="0" xfId="0" applyFont="1" applyFill="1" applyProtection="1"/>
    <xf numFmtId="0" fontId="59" fillId="3" borderId="4" xfId="0" applyFont="1" applyFill="1" applyBorder="1" applyAlignment="1" applyProtection="1">
      <alignment wrapText="1"/>
    </xf>
    <xf numFmtId="0" fontId="65" fillId="4" borderId="98" xfId="0" applyFont="1" applyFill="1" applyBorder="1" applyAlignment="1" applyProtection="1">
      <alignment horizontal="left"/>
    </xf>
    <xf numFmtId="0" fontId="23" fillId="11" borderId="123" xfId="0" applyFont="1" applyFill="1" applyBorder="1" applyAlignment="1" applyProtection="1">
      <alignment horizontal="right" vertical="center"/>
    </xf>
    <xf numFmtId="3" fontId="13" fillId="10" borderId="98" xfId="0" applyNumberFormat="1" applyFont="1" applyFill="1" applyBorder="1" applyAlignment="1" applyProtection="1">
      <alignment horizontal="center" wrapText="1"/>
    </xf>
    <xf numFmtId="0" fontId="0" fillId="0" borderId="0" xfId="0" applyAlignment="1" applyProtection="1">
      <alignment horizontal="center"/>
      <protection locked="0"/>
    </xf>
    <xf numFmtId="3" fontId="12" fillId="0" borderId="1" xfId="0" applyNumberFormat="1" applyFont="1" applyFill="1" applyBorder="1" applyAlignment="1" applyProtection="1">
      <alignment horizontal="left" vertical="center" wrapText="1"/>
      <protection locked="0"/>
    </xf>
    <xf numFmtId="0" fontId="23" fillId="3" borderId="0" xfId="0" applyFont="1" applyFill="1" applyBorder="1" applyProtection="1"/>
    <xf numFmtId="3" fontId="23" fillId="3" borderId="0" xfId="0" applyNumberFormat="1" applyFont="1" applyFill="1" applyAlignment="1" applyProtection="1">
      <alignment wrapText="1"/>
    </xf>
    <xf numFmtId="0" fontId="64" fillId="3" borderId="0" xfId="0" applyFont="1" applyFill="1" applyAlignment="1" applyProtection="1">
      <alignment horizontal="left"/>
    </xf>
    <xf numFmtId="3" fontId="0" fillId="3" borderId="0" xfId="0" applyNumberFormat="1" applyFill="1" applyAlignment="1" applyProtection="1">
      <alignment horizontal="center"/>
    </xf>
    <xf numFmtId="0" fontId="23" fillId="0" borderId="1" xfId="0" applyFont="1" applyFill="1" applyBorder="1" applyAlignment="1" applyProtection="1">
      <alignment horizontal="center"/>
    </xf>
    <xf numFmtId="0" fontId="23" fillId="10" borderId="13" xfId="0" applyFont="1" applyFill="1" applyBorder="1" applyAlignment="1" applyProtection="1"/>
    <xf numFmtId="166" fontId="23" fillId="0" borderId="1" xfId="0" applyNumberFormat="1" applyFont="1" applyFill="1" applyBorder="1" applyAlignment="1" applyProtection="1">
      <alignment horizontal="center"/>
      <protection locked="0"/>
    </xf>
    <xf numFmtId="3" fontId="23" fillId="3" borderId="0" xfId="0" applyNumberFormat="1" applyFont="1" applyFill="1" applyBorder="1" applyAlignment="1" applyProtection="1">
      <alignment horizontal="center" wrapText="1"/>
    </xf>
    <xf numFmtId="3" fontId="23" fillId="3" borderId="10" xfId="0" applyNumberFormat="1" applyFont="1" applyFill="1" applyBorder="1" applyAlignment="1" applyProtection="1">
      <alignment horizontal="center" wrapText="1"/>
    </xf>
    <xf numFmtId="0" fontId="64" fillId="4" borderId="103" xfId="0" applyFont="1" applyFill="1" applyBorder="1" applyAlignment="1" applyProtection="1">
      <alignment horizontal="left"/>
    </xf>
    <xf numFmtId="0" fontId="13" fillId="10" borderId="0" xfId="0" applyFont="1" applyFill="1" applyBorder="1" applyAlignment="1" applyProtection="1"/>
    <xf numFmtId="3" fontId="13" fillId="10" borderId="124" xfId="0" applyNumberFormat="1" applyFont="1" applyFill="1" applyBorder="1" applyAlignment="1" applyProtection="1">
      <alignment horizontal="center" wrapText="1"/>
    </xf>
    <xf numFmtId="3" fontId="13" fillId="10" borderId="109" xfId="0" applyNumberFormat="1" applyFont="1" applyFill="1" applyBorder="1" applyAlignment="1" applyProtection="1">
      <alignment horizontal="center" wrapText="1"/>
    </xf>
    <xf numFmtId="3" fontId="13" fillId="10" borderId="10" xfId="0" applyNumberFormat="1" applyFont="1" applyFill="1" applyBorder="1" applyAlignment="1" applyProtection="1">
      <alignment horizontal="center" wrapText="1"/>
    </xf>
    <xf numFmtId="3" fontId="13" fillId="10" borderId="108" xfId="0" applyNumberFormat="1" applyFont="1" applyFill="1" applyBorder="1" applyAlignment="1" applyProtection="1">
      <alignment horizontal="center" wrapText="1"/>
    </xf>
    <xf numFmtId="3" fontId="13" fillId="10" borderId="125" xfId="0" applyNumberFormat="1" applyFont="1" applyFill="1" applyBorder="1" applyAlignment="1" applyProtection="1">
      <alignment horizontal="center" wrapText="1"/>
    </xf>
    <xf numFmtId="3" fontId="13" fillId="10" borderId="69" xfId="0" applyNumberFormat="1" applyFont="1" applyFill="1" applyBorder="1" applyAlignment="1" applyProtection="1">
      <alignment horizontal="center" wrapText="1"/>
    </xf>
    <xf numFmtId="0" fontId="0" fillId="0" borderId="126" xfId="0" applyBorder="1" applyAlignment="1" applyProtection="1">
      <alignment horizontal="center"/>
    </xf>
    <xf numFmtId="4" fontId="2" fillId="0" borderId="127" xfId="1" applyNumberFormat="1" applyFont="1" applyBorder="1" applyAlignment="1" applyProtection="1">
      <alignment horizontal="center" vertical="center"/>
      <protection locked="0"/>
    </xf>
    <xf numFmtId="4" fontId="2" fillId="0" borderId="128" xfId="1" applyNumberFormat="1" applyFont="1" applyBorder="1" applyAlignment="1" applyProtection="1">
      <alignment horizontal="center" vertical="center"/>
      <protection locked="0"/>
    </xf>
    <xf numFmtId="2" fontId="2" fillId="0" borderId="129" xfId="1" applyNumberFormat="1" applyFont="1" applyBorder="1" applyAlignment="1" applyProtection="1">
      <alignment horizontal="left" wrapText="1"/>
      <protection locked="0"/>
    </xf>
    <xf numFmtId="4" fontId="2" fillId="0" borderId="130" xfId="0" applyNumberFormat="1" applyFont="1" applyFill="1" applyBorder="1" applyAlignment="1" applyProtection="1">
      <alignment horizontal="center" vertical="center" wrapText="1"/>
      <protection locked="0"/>
    </xf>
    <xf numFmtId="4" fontId="2" fillId="0" borderId="131" xfId="0" applyNumberFormat="1" applyFont="1" applyFill="1" applyBorder="1" applyAlignment="1" applyProtection="1">
      <alignment horizontal="center" vertical="center" wrapText="1"/>
      <protection locked="0"/>
    </xf>
    <xf numFmtId="2" fontId="2" fillId="0" borderId="132" xfId="1" applyNumberFormat="1" applyFont="1" applyBorder="1" applyAlignment="1" applyProtection="1">
      <alignment horizontal="left" wrapText="1"/>
      <protection locked="0"/>
    </xf>
    <xf numFmtId="0" fontId="0" fillId="0" borderId="110" xfId="0" applyBorder="1" applyAlignment="1" applyProtection="1">
      <alignment horizontal="center"/>
    </xf>
    <xf numFmtId="4" fontId="2" fillId="0" borderId="106" xfId="1" applyNumberFormat="1" applyFont="1" applyBorder="1" applyAlignment="1" applyProtection="1">
      <alignment horizontal="center" vertical="center"/>
      <protection locked="0"/>
    </xf>
    <xf numFmtId="2" fontId="2" fillId="0" borderId="84" xfId="1" applyNumberFormat="1" applyFont="1" applyBorder="1" applyAlignment="1" applyProtection="1">
      <alignment horizontal="left" wrapText="1"/>
      <protection locked="0"/>
    </xf>
    <xf numFmtId="4" fontId="2" fillId="0" borderId="133" xfId="0" applyNumberFormat="1" applyFont="1" applyFill="1" applyBorder="1" applyAlignment="1" applyProtection="1">
      <alignment horizontal="center" vertical="center" wrapText="1"/>
      <protection locked="0"/>
    </xf>
    <xf numFmtId="4" fontId="2" fillId="0" borderId="106" xfId="0" applyNumberFormat="1" applyFont="1" applyFill="1" applyBorder="1" applyAlignment="1" applyProtection="1">
      <alignment horizontal="center" vertical="center" wrapText="1"/>
      <protection locked="0"/>
    </xf>
    <xf numFmtId="2" fontId="2" fillId="0" borderId="134" xfId="1" applyNumberFormat="1" applyFont="1" applyBorder="1" applyAlignment="1" applyProtection="1">
      <alignment horizontal="left" wrapText="1"/>
      <protection locked="0"/>
    </xf>
    <xf numFmtId="0" fontId="0" fillId="0" borderId="110" xfId="0" quotePrefix="1" applyBorder="1" applyAlignment="1" applyProtection="1">
      <alignment horizontal="center"/>
    </xf>
    <xf numFmtId="0" fontId="0" fillId="0" borderId="107" xfId="0" quotePrefix="1" applyBorder="1" applyAlignment="1" applyProtection="1">
      <alignment horizontal="center"/>
    </xf>
    <xf numFmtId="4" fontId="2" fillId="0" borderId="135" xfId="0" applyNumberFormat="1" applyFont="1" applyFill="1" applyBorder="1" applyAlignment="1" applyProtection="1">
      <alignment horizontal="center" vertical="center" wrapText="1"/>
      <protection locked="0"/>
    </xf>
    <xf numFmtId="4" fontId="2" fillId="0" borderId="112" xfId="1" applyNumberFormat="1" applyFont="1" applyBorder="1" applyAlignment="1" applyProtection="1">
      <alignment horizontal="center" vertical="center"/>
      <protection locked="0"/>
    </xf>
    <xf numFmtId="2" fontId="2" fillId="0" borderId="136" xfId="1" applyNumberFormat="1" applyFont="1" applyBorder="1" applyAlignment="1" applyProtection="1">
      <alignment horizontal="left" wrapText="1"/>
      <protection locked="0"/>
    </xf>
    <xf numFmtId="2" fontId="2" fillId="0" borderId="137" xfId="1" applyNumberFormat="1" applyFont="1" applyBorder="1" applyAlignment="1" applyProtection="1">
      <alignment horizontal="left" wrapText="1"/>
      <protection locked="0"/>
    </xf>
    <xf numFmtId="0" fontId="0" fillId="0" borderId="107" xfId="0" applyBorder="1" applyAlignment="1" applyProtection="1">
      <alignment horizontal="center"/>
    </xf>
    <xf numFmtId="4" fontId="2" fillId="0" borderId="112" xfId="0" applyNumberFormat="1" applyFont="1" applyBorder="1" applyAlignment="1" applyProtection="1">
      <alignment horizontal="center" vertical="center" wrapText="1"/>
      <protection locked="0"/>
    </xf>
    <xf numFmtId="2" fontId="2" fillId="0" borderId="138" xfId="0" applyNumberFormat="1" applyFont="1" applyBorder="1" applyAlignment="1" applyProtection="1">
      <alignment horizontal="left" wrapText="1"/>
      <protection locked="0"/>
    </xf>
    <xf numFmtId="4" fontId="2" fillId="0" borderId="139" xfId="0" applyNumberFormat="1" applyFont="1" applyFill="1" applyBorder="1" applyAlignment="1" applyProtection="1">
      <alignment horizontal="center" vertical="center" wrapText="1"/>
      <protection locked="0"/>
    </xf>
    <xf numFmtId="4" fontId="2" fillId="0" borderId="140" xfId="0" applyNumberFormat="1" applyFont="1" applyFill="1" applyBorder="1" applyAlignment="1" applyProtection="1">
      <alignment horizontal="center" vertical="center" wrapText="1"/>
      <protection locked="0"/>
    </xf>
    <xf numFmtId="2" fontId="2" fillId="0" borderId="141" xfId="0" applyNumberFormat="1" applyFont="1" applyBorder="1" applyAlignment="1" applyProtection="1">
      <alignment horizontal="left" wrapText="1"/>
      <protection locked="0"/>
    </xf>
    <xf numFmtId="4" fontId="23" fillId="11" borderId="98" xfId="0" applyNumberFormat="1" applyFont="1" applyFill="1" applyBorder="1" applyAlignment="1" applyProtection="1">
      <alignment horizontal="center" vertical="center" wrapText="1"/>
    </xf>
    <xf numFmtId="4" fontId="23" fillId="11" borderId="69" xfId="0" applyNumberFormat="1" applyFont="1" applyFill="1" applyBorder="1" applyAlignment="1" applyProtection="1">
      <alignment horizontal="center" vertical="center" wrapText="1"/>
    </xf>
    <xf numFmtId="0" fontId="2" fillId="11" borderId="10" xfId="0" applyNumberFormat="1" applyFont="1" applyFill="1" applyBorder="1" applyAlignment="1" applyProtection="1">
      <alignment horizontal="left" vertical="center" wrapText="1" indent="1"/>
    </xf>
    <xf numFmtId="0" fontId="2" fillId="11" borderId="77" xfId="0" applyNumberFormat="1" applyFont="1" applyFill="1" applyBorder="1" applyAlignment="1" applyProtection="1">
      <alignment horizontal="left" vertical="center" wrapText="1" indent="1"/>
    </xf>
    <xf numFmtId="0" fontId="0" fillId="3" borderId="0" xfId="0" applyFill="1" applyAlignment="1" applyProtection="1">
      <alignment wrapText="1"/>
    </xf>
    <xf numFmtId="0" fontId="0" fillId="3" borderId="0" xfId="0" applyFill="1" applyBorder="1" applyAlignment="1" applyProtection="1">
      <alignment horizontal="center" wrapText="1"/>
    </xf>
    <xf numFmtId="0" fontId="23" fillId="3" borderId="0" xfId="0" applyFont="1" applyFill="1" applyAlignment="1" applyProtection="1">
      <alignment horizontal="left" wrapText="1"/>
    </xf>
    <xf numFmtId="0" fontId="0" fillId="3" borderId="0" xfId="0" applyFill="1" applyAlignment="1" applyProtection="1">
      <alignment horizontal="center" wrapText="1"/>
    </xf>
    <xf numFmtId="0" fontId="0" fillId="4" borderId="103" xfId="0" applyFill="1" applyBorder="1" applyAlignment="1" applyProtection="1">
      <alignment horizontal="left"/>
    </xf>
    <xf numFmtId="0" fontId="13" fillId="10" borderId="124" xfId="0" applyFont="1" applyFill="1" applyBorder="1" applyAlignment="1" applyProtection="1">
      <alignment horizontal="center"/>
    </xf>
    <xf numFmtId="0" fontId="13" fillId="10" borderId="108" xfId="0" applyFont="1" applyFill="1" applyBorder="1" applyAlignment="1" applyProtection="1">
      <alignment horizontal="center"/>
    </xf>
    <xf numFmtId="0" fontId="13" fillId="10" borderId="117" xfId="0" applyFont="1" applyFill="1" applyBorder="1" applyAlignment="1" applyProtection="1">
      <alignment horizontal="center" wrapText="1"/>
    </xf>
    <xf numFmtId="3" fontId="13" fillId="10" borderId="142" xfId="0" applyNumberFormat="1" applyFont="1" applyFill="1" applyBorder="1" applyAlignment="1" applyProtection="1">
      <alignment horizontal="center" wrapText="1"/>
    </xf>
    <xf numFmtId="0" fontId="0" fillId="0" borderId="126" xfId="0" applyBorder="1" applyAlignment="1" applyProtection="1">
      <alignment horizontal="center"/>
      <protection locked="0"/>
    </xf>
    <xf numFmtId="2" fontId="2" fillId="0" borderId="143" xfId="1" applyNumberFormat="1" applyFont="1" applyBorder="1" applyAlignment="1" applyProtection="1">
      <alignment horizontal="left" wrapText="1"/>
      <protection locked="0"/>
    </xf>
    <xf numFmtId="0" fontId="0" fillId="0" borderId="110" xfId="0" quotePrefix="1" applyBorder="1" applyAlignment="1" applyProtection="1">
      <alignment horizontal="center"/>
      <protection locked="0"/>
    </xf>
    <xf numFmtId="2" fontId="2" fillId="0" borderId="84" xfId="0" applyNumberFormat="1" applyFont="1" applyBorder="1" applyAlignment="1" applyProtection="1">
      <alignment horizontal="left" wrapText="1"/>
      <protection locked="0"/>
    </xf>
    <xf numFmtId="2" fontId="2" fillId="0" borderId="143" xfId="0" applyNumberFormat="1" applyFont="1" applyBorder="1" applyAlignment="1" applyProtection="1">
      <alignment horizontal="left" wrapText="1"/>
      <protection locked="0"/>
    </xf>
    <xf numFmtId="2" fontId="2" fillId="0" borderId="136" xfId="0" applyNumberFormat="1" applyFont="1" applyBorder="1" applyAlignment="1" applyProtection="1">
      <alignment horizontal="left" wrapText="1"/>
      <protection locked="0"/>
    </xf>
    <xf numFmtId="2" fontId="2" fillId="0" borderId="144" xfId="0" applyNumberFormat="1" applyFont="1" applyBorder="1" applyAlignment="1" applyProtection="1">
      <alignment horizontal="left" wrapText="1"/>
      <protection locked="0"/>
    </xf>
    <xf numFmtId="0" fontId="2" fillId="11" borderId="98" xfId="0" applyNumberFormat="1" applyFont="1" applyFill="1" applyBorder="1" applyAlignment="1" applyProtection="1">
      <alignment horizontal="left" vertical="center" wrapText="1" indent="1"/>
    </xf>
    <xf numFmtId="0" fontId="2" fillId="11" borderId="69" xfId="0" applyNumberFormat="1" applyFont="1" applyFill="1" applyBorder="1" applyAlignment="1" applyProtection="1">
      <alignment horizontal="left" vertical="center" wrapText="1" indent="1"/>
    </xf>
    <xf numFmtId="0" fontId="65" fillId="4" borderId="7" xfId="0" applyFont="1" applyFill="1" applyBorder="1" applyAlignment="1" applyProtection="1">
      <alignment horizontal="left"/>
    </xf>
    <xf numFmtId="0" fontId="0" fillId="4" borderId="10" xfId="0" applyFill="1" applyBorder="1" applyAlignment="1" applyProtection="1">
      <alignment horizontal="center"/>
    </xf>
    <xf numFmtId="0" fontId="0" fillId="4" borderId="10" xfId="0" applyFill="1" applyBorder="1" applyProtection="1"/>
    <xf numFmtId="4" fontId="2" fillId="0" borderId="145" xfId="0" applyNumberFormat="1" applyFont="1" applyFill="1" applyBorder="1" applyAlignment="1" applyProtection="1">
      <alignment horizontal="center" vertical="center" wrapText="1"/>
      <protection locked="0"/>
    </xf>
    <xf numFmtId="0" fontId="0" fillId="3" borderId="0" xfId="0" applyFill="1" applyAlignment="1" applyProtection="1">
      <alignment horizontal="center" vertical="center"/>
      <protection locked="0"/>
    </xf>
    <xf numFmtId="0" fontId="12" fillId="3" borderId="0" xfId="0" applyFont="1" applyFill="1" applyProtection="1">
      <protection locked="0"/>
    </xf>
    <xf numFmtId="0" fontId="0" fillId="3" borderId="0" xfId="0" applyFill="1" applyAlignment="1" applyProtection="1">
      <alignment wrapText="1"/>
      <protection locked="0"/>
    </xf>
    <xf numFmtId="0" fontId="0" fillId="3" borderId="0" xfId="0" applyFill="1" applyAlignment="1" applyProtection="1">
      <protection locked="0"/>
    </xf>
    <xf numFmtId="0" fontId="65" fillId="3" borderId="54" xfId="0" applyFont="1" applyFill="1" applyBorder="1" applyAlignment="1" applyProtection="1">
      <alignment horizontal="left"/>
    </xf>
    <xf numFmtId="0" fontId="0" fillId="3" borderId="54" xfId="0" applyFill="1" applyBorder="1" applyAlignment="1" applyProtection="1">
      <alignment horizontal="center"/>
    </xf>
    <xf numFmtId="0" fontId="0" fillId="3" borderId="54" xfId="0" applyFill="1" applyBorder="1" applyProtection="1"/>
    <xf numFmtId="0" fontId="13" fillId="3" borderId="54" xfId="0" applyFont="1" applyFill="1" applyBorder="1" applyAlignment="1" applyProtection="1">
      <alignment horizontal="center"/>
    </xf>
    <xf numFmtId="0" fontId="0" fillId="3" borderId="0" xfId="0" applyFill="1" applyBorder="1" applyAlignment="1" applyProtection="1"/>
    <xf numFmtId="0" fontId="0" fillId="3" borderId="0" xfId="0" applyFill="1" applyBorder="1" applyAlignment="1" applyProtection="1">
      <alignment wrapText="1"/>
    </xf>
    <xf numFmtId="0" fontId="0" fillId="3" borderId="0" xfId="0" applyFill="1" applyBorder="1" applyAlignment="1">
      <alignment wrapText="1"/>
    </xf>
    <xf numFmtId="0" fontId="76" fillId="3" borderId="0" xfId="0" applyFont="1" applyFill="1" applyProtection="1"/>
    <xf numFmtId="0" fontId="67" fillId="3" borderId="0" xfId="0" applyFont="1" applyFill="1" applyProtection="1">
      <protection locked="0"/>
    </xf>
    <xf numFmtId="0" fontId="0" fillId="3" borderId="0" xfId="0" applyFill="1" applyAlignment="1" applyProtection="1">
      <alignment horizontal="center"/>
      <protection locked="0"/>
    </xf>
    <xf numFmtId="3" fontId="0" fillId="3" borderId="0" xfId="0" applyNumberFormat="1" applyFill="1" applyAlignment="1" applyProtection="1">
      <alignment horizontal="center"/>
      <protection locked="0"/>
    </xf>
    <xf numFmtId="166" fontId="23" fillId="3" borderId="0" xfId="0" applyNumberFormat="1" applyFont="1" applyFill="1" applyBorder="1" applyAlignment="1" applyProtection="1">
      <alignment horizontal="center"/>
    </xf>
    <xf numFmtId="0" fontId="77" fillId="0" borderId="0" xfId="0" applyFont="1" applyAlignment="1">
      <alignment vertical="center"/>
    </xf>
    <xf numFmtId="4" fontId="2" fillId="0" borderId="146" xfId="0" applyNumberFormat="1" applyFont="1" applyFill="1" applyBorder="1" applyAlignment="1" applyProtection="1">
      <alignment horizontal="center" vertical="center" wrapText="1"/>
      <protection locked="0"/>
    </xf>
    <xf numFmtId="49" fontId="2" fillId="3" borderId="11" xfId="11" applyNumberFormat="1" applyFont="1" applyFill="1" applyBorder="1" applyAlignment="1" applyProtection="1">
      <alignment wrapText="1"/>
      <protection locked="0"/>
    </xf>
    <xf numFmtId="49" fontId="2" fillId="3" borderId="0" xfId="11" applyNumberFormat="1" applyFont="1" applyFill="1" applyBorder="1" applyAlignment="1" applyProtection="1">
      <alignment wrapText="1"/>
      <protection locked="0"/>
    </xf>
    <xf numFmtId="0" fontId="21" fillId="3" borderId="0" xfId="13" applyFont="1" applyFill="1" applyAlignment="1" applyProtection="1">
      <alignment horizontal="left" wrapText="1"/>
    </xf>
    <xf numFmtId="0" fontId="11" fillId="2" borderId="0" xfId="13" applyFont="1" applyFill="1" applyBorder="1" applyAlignment="1" applyProtection="1">
      <alignment horizontal="left" vertical="center"/>
    </xf>
    <xf numFmtId="0" fontId="11" fillId="2" borderId="0" xfId="13" applyFont="1" applyFill="1" applyBorder="1" applyAlignment="1" applyProtection="1">
      <alignment horizontal="center"/>
    </xf>
    <xf numFmtId="0" fontId="52" fillId="3" borderId="0" xfId="13" applyFont="1" applyFill="1" applyAlignment="1" applyProtection="1">
      <alignment horizontal="left" wrapText="1"/>
    </xf>
    <xf numFmtId="0" fontId="9" fillId="3" borderId="98" xfId="13" applyFont="1" applyFill="1" applyBorder="1" applyProtection="1"/>
    <xf numFmtId="0" fontId="9" fillId="3" borderId="123" xfId="13" applyFont="1" applyFill="1" applyBorder="1" applyProtection="1"/>
    <xf numFmtId="0" fontId="13" fillId="5" borderId="14" xfId="0" applyFont="1" applyFill="1" applyBorder="1" applyAlignment="1" applyProtection="1">
      <alignment horizontal="center" vertical="center" wrapText="1"/>
    </xf>
    <xf numFmtId="0" fontId="52" fillId="3" borderId="0" xfId="13" applyFont="1" applyFill="1" applyAlignment="1" applyProtection="1">
      <alignment wrapText="1"/>
    </xf>
    <xf numFmtId="0" fontId="0" fillId="3" borderId="0" xfId="0" applyNumberFormat="1" applyFill="1"/>
    <xf numFmtId="0" fontId="2" fillId="3" borderId="32" xfId="0" applyFont="1" applyFill="1" applyBorder="1" applyProtection="1"/>
    <xf numFmtId="0" fontId="2" fillId="3" borderId="38" xfId="0" applyFont="1" applyFill="1" applyBorder="1" applyProtection="1"/>
    <xf numFmtId="0" fontId="2" fillId="3" borderId="32" xfId="0" applyFont="1" applyFill="1" applyBorder="1" applyAlignment="1" applyProtection="1"/>
    <xf numFmtId="0" fontId="2" fillId="0" borderId="33" xfId="0" applyFont="1" applyBorder="1" applyAlignment="1" applyProtection="1"/>
    <xf numFmtId="0" fontId="2" fillId="0" borderId="51" xfId="0" applyFont="1" applyBorder="1" applyAlignment="1" applyProtection="1"/>
    <xf numFmtId="0" fontId="2" fillId="3" borderId="47" xfId="0" applyFont="1" applyFill="1" applyBorder="1" applyAlignment="1" applyProtection="1"/>
    <xf numFmtId="0" fontId="36" fillId="0" borderId="0" xfId="0" applyFont="1" applyBorder="1" applyProtection="1"/>
    <xf numFmtId="0" fontId="36" fillId="3" borderId="0" xfId="0" applyFont="1" applyFill="1" applyBorder="1" applyProtection="1"/>
    <xf numFmtId="0" fontId="0" fillId="0" borderId="99" xfId="0" applyBorder="1" applyAlignment="1" applyProtection="1"/>
    <xf numFmtId="0" fontId="8" fillId="3" borderId="0" xfId="0" applyFont="1" applyFill="1" applyBorder="1" applyProtection="1"/>
    <xf numFmtId="0" fontId="8" fillId="4" borderId="0" xfId="0" applyFont="1" applyFill="1" applyBorder="1" applyProtection="1"/>
    <xf numFmtId="0" fontId="8" fillId="3" borderId="0" xfId="0" applyFont="1" applyFill="1" applyBorder="1" applyAlignment="1" applyProtection="1">
      <alignment wrapText="1"/>
    </xf>
    <xf numFmtId="165" fontId="2" fillId="3" borderId="0" xfId="1" applyNumberFormat="1" applyFill="1" applyBorder="1" applyProtection="1">
      <protection locked="0"/>
    </xf>
    <xf numFmtId="3" fontId="15" fillId="6" borderId="90" xfId="0" applyNumberFormat="1" applyFont="1" applyFill="1" applyBorder="1" applyAlignment="1" applyProtection="1">
      <alignment horizontal="left" vertical="center"/>
    </xf>
    <xf numFmtId="167" fontId="15" fillId="0" borderId="41" xfId="0" applyNumberFormat="1" applyFont="1" applyFill="1" applyBorder="1" applyAlignment="1" applyProtection="1">
      <alignment horizontal="right" vertical="center"/>
    </xf>
    <xf numFmtId="167" fontId="15" fillId="3" borderId="99" xfId="0" applyNumberFormat="1" applyFont="1" applyFill="1" applyBorder="1" applyAlignment="1" applyProtection="1">
      <alignment horizontal="right" vertical="center"/>
    </xf>
    <xf numFmtId="167" fontId="15" fillId="3" borderId="99" xfId="0" applyNumberFormat="1" applyFont="1" applyFill="1" applyBorder="1" applyAlignment="1" applyProtection="1">
      <alignment horizontal="center" vertical="center"/>
    </xf>
    <xf numFmtId="0" fontId="21" fillId="3" borderId="0" xfId="0" applyFont="1" applyFill="1" applyBorder="1" applyAlignment="1" applyProtection="1">
      <alignment horizontal="left" wrapText="1"/>
    </xf>
    <xf numFmtId="165" fontId="2" fillId="0" borderId="0" xfId="1" applyNumberFormat="1" applyBorder="1" applyProtection="1"/>
    <xf numFmtId="167" fontId="15" fillId="0" borderId="0" xfId="0" applyNumberFormat="1" applyFont="1" applyFill="1" applyBorder="1" applyAlignment="1" applyProtection="1">
      <alignment horizontal="right" vertical="center"/>
    </xf>
    <xf numFmtId="0" fontId="23" fillId="0" borderId="0" xfId="0" applyFont="1" applyBorder="1" applyAlignment="1" applyProtection="1"/>
    <xf numFmtId="165" fontId="12" fillId="3" borderId="0" xfId="1" applyNumberFormat="1" applyFont="1" applyFill="1" applyBorder="1" applyProtection="1"/>
    <xf numFmtId="0" fontId="0" fillId="0" borderId="41" xfId="0" applyFill="1" applyBorder="1" applyAlignment="1" applyProtection="1">
      <alignment horizontal="center" vertical="center" wrapText="1"/>
    </xf>
    <xf numFmtId="0" fontId="23" fillId="0" borderId="47" xfId="0" applyFont="1" applyFill="1" applyBorder="1" applyAlignment="1" applyProtection="1"/>
    <xf numFmtId="0" fontId="0" fillId="0" borderId="99" xfId="0" applyFill="1" applyBorder="1" applyAlignment="1" applyProtection="1">
      <alignment vertical="center"/>
    </xf>
    <xf numFmtId="165" fontId="2" fillId="3" borderId="47" xfId="1" applyNumberFormat="1" applyFill="1" applyBorder="1" applyAlignment="1" applyProtection="1">
      <alignment horizontal="center"/>
    </xf>
    <xf numFmtId="0" fontId="38" fillId="3" borderId="0" xfId="0" applyFont="1" applyFill="1" applyBorder="1" applyAlignment="1" applyProtection="1">
      <alignment vertical="center" wrapText="1"/>
    </xf>
    <xf numFmtId="165" fontId="2" fillId="3" borderId="0" xfId="1" applyNumberFormat="1" applyFill="1" applyBorder="1" applyAlignment="1" applyProtection="1">
      <alignment horizontal="center"/>
    </xf>
    <xf numFmtId="0" fontId="43" fillId="3" borderId="0" xfId="0" applyFont="1" applyFill="1" applyBorder="1" applyProtection="1"/>
    <xf numFmtId="0" fontId="0" fillId="3" borderId="0" xfId="0" applyFill="1" applyBorder="1" applyAlignment="1" applyProtection="1">
      <alignment horizontal="center"/>
    </xf>
    <xf numFmtId="167" fontId="13" fillId="3" borderId="0" xfId="0" applyNumberFormat="1" applyFont="1" applyFill="1" applyBorder="1" applyAlignment="1" applyProtection="1">
      <alignment horizontal="right"/>
    </xf>
    <xf numFmtId="4" fontId="15" fillId="0" borderId="32" xfId="0" applyNumberFormat="1" applyFont="1" applyFill="1" applyBorder="1" applyAlignment="1" applyProtection="1">
      <alignment horizontal="right" vertical="center"/>
    </xf>
    <xf numFmtId="3" fontId="15" fillId="0" borderId="38" xfId="0" applyNumberFormat="1" applyFont="1" applyFill="1" applyBorder="1" applyAlignment="1" applyProtection="1"/>
    <xf numFmtId="3" fontId="15" fillId="3" borderId="38" xfId="0" applyNumberFormat="1" applyFont="1" applyFill="1" applyBorder="1" applyAlignment="1" applyProtection="1"/>
    <xf numFmtId="0" fontId="15" fillId="0" borderId="32" xfId="0" applyFont="1" applyBorder="1" applyAlignment="1" applyProtection="1"/>
    <xf numFmtId="0" fontId="15" fillId="3" borderId="32" xfId="0" applyFont="1" applyFill="1" applyBorder="1" applyAlignment="1" applyProtection="1"/>
    <xf numFmtId="0" fontId="8" fillId="0" borderId="32" xfId="0" applyFont="1" applyBorder="1" applyAlignment="1" applyProtection="1"/>
    <xf numFmtId="0" fontId="8" fillId="3" borderId="32" xfId="0" applyFont="1" applyFill="1" applyBorder="1" applyAlignment="1" applyProtection="1"/>
    <xf numFmtId="0" fontId="15" fillId="0" borderId="33" xfId="0" applyFont="1" applyFill="1" applyBorder="1" applyAlignment="1" applyProtection="1">
      <alignment vertical="center"/>
    </xf>
    <xf numFmtId="0" fontId="8" fillId="0" borderId="35" xfId="0" applyFont="1" applyFill="1" applyBorder="1" applyAlignment="1" applyProtection="1"/>
    <xf numFmtId="0" fontId="8" fillId="0" borderId="51" xfId="0" applyFont="1" applyBorder="1" applyAlignment="1" applyProtection="1"/>
    <xf numFmtId="0" fontId="8" fillId="0" borderId="47" xfId="0" applyFont="1" applyBorder="1" applyAlignment="1" applyProtection="1"/>
    <xf numFmtId="0" fontId="13" fillId="0" borderId="1" xfId="0" applyFont="1" applyFill="1" applyBorder="1" applyAlignment="1" applyProtection="1">
      <alignment horizontal="center" vertical="center"/>
      <protection locked="0"/>
    </xf>
    <xf numFmtId="0" fontId="12" fillId="3" borderId="1" xfId="0" applyNumberFormat="1" applyFont="1" applyFill="1" applyBorder="1" applyAlignment="1" applyProtection="1">
      <alignment horizontal="center" vertical="center" wrapText="1"/>
      <protection locked="0"/>
    </xf>
    <xf numFmtId="0" fontId="12" fillId="0" borderId="13" xfId="0" applyFont="1" applyFill="1" applyBorder="1" applyAlignment="1" applyProtection="1">
      <alignment horizontal="left" vertical="center" wrapText="1" indent="1"/>
      <protection locked="0"/>
    </xf>
    <xf numFmtId="0" fontId="12" fillId="0" borderId="13" xfId="0" applyFont="1" applyFill="1" applyBorder="1" applyAlignment="1" applyProtection="1">
      <alignment horizontal="center" vertical="center" wrapText="1"/>
      <protection locked="0"/>
    </xf>
    <xf numFmtId="0" fontId="0" fillId="0" borderId="0" xfId="0" applyFill="1" applyAlignment="1" applyProtection="1">
      <alignment horizontal="center"/>
    </xf>
    <xf numFmtId="0" fontId="21" fillId="3" borderId="0" xfId="0" applyFont="1" applyFill="1" applyBorder="1" applyAlignment="1" applyProtection="1">
      <alignment wrapText="1"/>
    </xf>
    <xf numFmtId="0" fontId="0" fillId="3" borderId="0" xfId="0" applyFill="1" applyBorder="1" applyAlignment="1" applyProtection="1">
      <alignment vertical="top"/>
    </xf>
    <xf numFmtId="169" fontId="12" fillId="3" borderId="75" xfId="0" applyNumberFormat="1" applyFont="1" applyFill="1" applyBorder="1" applyAlignment="1" applyProtection="1">
      <alignment horizontal="right" vertical="center"/>
      <protection locked="0"/>
    </xf>
    <xf numFmtId="166" fontId="12" fillId="3" borderId="1" xfId="0" applyNumberFormat="1" applyFont="1" applyFill="1" applyBorder="1" applyAlignment="1" applyProtection="1">
      <alignment horizontal="left" vertical="center" indent="1"/>
      <protection locked="0"/>
    </xf>
    <xf numFmtId="166" fontId="12" fillId="3" borderId="4" xfId="0" applyNumberFormat="1" applyFont="1" applyFill="1" applyBorder="1" applyAlignment="1" applyProtection="1">
      <alignment horizontal="left" vertical="center" indent="1"/>
      <protection locked="0"/>
    </xf>
    <xf numFmtId="171" fontId="8" fillId="3" borderId="69" xfId="0" applyNumberFormat="1" applyFont="1" applyFill="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172" fontId="12" fillId="0" borderId="1" xfId="19" applyNumberFormat="1" applyFont="1" applyFill="1" applyBorder="1" applyAlignment="1" applyProtection="1">
      <alignment horizontal="center" vertical="center" wrapText="1"/>
      <protection locked="0"/>
    </xf>
    <xf numFmtId="166" fontId="12" fillId="0" borderId="16" xfId="0" applyNumberFormat="1" applyFont="1" applyFill="1" applyBorder="1" applyAlignment="1" applyProtection="1">
      <alignment horizontal="left" vertical="center" indent="1"/>
      <protection locked="0"/>
    </xf>
    <xf numFmtId="0" fontId="13" fillId="5" borderId="90" xfId="0" applyFont="1" applyFill="1" applyBorder="1" applyAlignment="1" applyProtection="1">
      <alignment horizontal="center" vertical="center" wrapText="1"/>
    </xf>
    <xf numFmtId="0" fontId="12" fillId="0" borderId="23" xfId="0" applyFont="1" applyFill="1" applyBorder="1" applyAlignment="1" applyProtection="1">
      <alignment horizontal="left" vertical="center" wrapText="1" indent="1"/>
      <protection locked="0"/>
    </xf>
    <xf numFmtId="0" fontId="12" fillId="0" borderId="27" xfId="0" applyFont="1" applyFill="1" applyBorder="1" applyAlignment="1" applyProtection="1">
      <alignment horizontal="left" vertical="center" wrapText="1" indent="1"/>
      <protection locked="0"/>
    </xf>
    <xf numFmtId="3" fontId="12" fillId="3" borderId="1" xfId="0" applyNumberFormat="1" applyFont="1" applyFill="1" applyBorder="1" applyAlignment="1" applyProtection="1">
      <alignment horizontal="center" vertical="center" wrapText="1"/>
      <protection locked="0"/>
    </xf>
    <xf numFmtId="0" fontId="12" fillId="0" borderId="147" xfId="0" applyFont="1" applyFill="1" applyBorder="1" applyAlignment="1" applyProtection="1">
      <alignment horizontal="center" vertical="center" wrapText="1"/>
      <protection locked="0"/>
    </xf>
    <xf numFmtId="0" fontId="10" fillId="4" borderId="91" xfId="0" applyFont="1" applyFill="1" applyBorder="1" applyAlignment="1" applyProtection="1">
      <alignment vertical="center"/>
    </xf>
    <xf numFmtId="172" fontId="12" fillId="14" borderId="28" xfId="0" applyNumberFormat="1" applyFont="1" applyFill="1" applyBorder="1" applyAlignment="1" applyProtection="1">
      <alignment horizontal="center" vertical="center" wrapText="1"/>
    </xf>
    <xf numFmtId="0" fontId="13" fillId="5" borderId="85" xfId="0" applyFont="1" applyFill="1" applyBorder="1" applyAlignment="1" applyProtection="1">
      <alignment horizontal="center" vertical="center"/>
    </xf>
    <xf numFmtId="0" fontId="12" fillId="0" borderId="28" xfId="0" applyFont="1" applyFill="1" applyBorder="1" applyAlignment="1" applyProtection="1">
      <alignment horizontal="center" vertical="center" wrapText="1"/>
      <protection locked="0"/>
    </xf>
    <xf numFmtId="0" fontId="12" fillId="0" borderId="148" xfId="0" applyFont="1" applyFill="1" applyBorder="1" applyAlignment="1" applyProtection="1">
      <alignment horizontal="left" vertical="center" wrapText="1" indent="1"/>
      <protection locked="0"/>
    </xf>
    <xf numFmtId="0" fontId="13" fillId="5" borderId="15" xfId="0" applyFont="1" applyFill="1" applyBorder="1" applyAlignment="1" applyProtection="1">
      <alignment horizontal="center" vertical="center" wrapText="1"/>
    </xf>
    <xf numFmtId="0" fontId="12" fillId="4" borderId="12" xfId="0" applyNumberFormat="1" applyFont="1" applyFill="1" applyBorder="1" applyAlignment="1" applyProtection="1">
      <alignment horizontal="center" vertical="center" wrapText="1"/>
    </xf>
    <xf numFmtId="0" fontId="12" fillId="4" borderId="4" xfId="0" applyNumberFormat="1" applyFont="1" applyFill="1" applyBorder="1" applyAlignment="1" applyProtection="1">
      <alignment horizontal="center" vertical="center" wrapText="1"/>
    </xf>
    <xf numFmtId="3" fontId="15" fillId="6" borderId="12" xfId="0" applyNumberFormat="1" applyFont="1" applyFill="1" applyBorder="1" applyAlignment="1" applyProtection="1">
      <alignment horizontal="left" vertical="center"/>
    </xf>
    <xf numFmtId="3" fontId="12" fillId="3" borderId="149" xfId="0" applyNumberFormat="1" applyFont="1" applyFill="1" applyBorder="1" applyAlignment="1" applyProtection="1">
      <alignment horizontal="center" vertical="center" wrapText="1"/>
      <protection locked="0"/>
    </xf>
    <xf numFmtId="3" fontId="12" fillId="3" borderId="96" xfId="0" applyNumberFormat="1" applyFont="1" applyFill="1" applyBorder="1" applyAlignment="1" applyProtection="1">
      <alignment horizontal="center" vertical="center" wrapText="1"/>
      <protection locked="0"/>
    </xf>
    <xf numFmtId="0" fontId="12" fillId="3" borderId="11" xfId="0" applyFont="1" applyFill="1" applyBorder="1" applyAlignment="1" applyProtection="1">
      <alignment horizontal="left" vertical="center"/>
    </xf>
    <xf numFmtId="0" fontId="15" fillId="3" borderId="117" xfId="0" applyFont="1" applyFill="1" applyBorder="1" applyAlignment="1" applyProtection="1">
      <alignment horizontal="left" vertical="center" indent="1"/>
    </xf>
    <xf numFmtId="3" fontId="13" fillId="6" borderId="12" xfId="0" applyNumberFormat="1" applyFont="1" applyFill="1" applyBorder="1" applyAlignment="1" applyProtection="1">
      <alignment horizontal="center" vertical="center" wrapText="1"/>
    </xf>
    <xf numFmtId="3" fontId="12" fillId="3" borderId="4" xfId="0" applyNumberFormat="1" applyFont="1" applyFill="1" applyBorder="1" applyAlignment="1" applyProtection="1">
      <alignment horizontal="center" vertical="center" wrapText="1"/>
      <protection locked="0"/>
    </xf>
    <xf numFmtId="3" fontId="15" fillId="3" borderId="1" xfId="0" applyNumberFormat="1" applyFont="1" applyFill="1" applyBorder="1" applyAlignment="1" applyProtection="1">
      <alignment horizontal="center" vertical="center"/>
      <protection locked="0"/>
    </xf>
    <xf numFmtId="3" fontId="15" fillId="4" borderId="92" xfId="0" applyNumberFormat="1" applyFont="1" applyFill="1" applyBorder="1" applyAlignment="1" applyProtection="1">
      <alignment horizontal="center" vertical="center"/>
    </xf>
    <xf numFmtId="3" fontId="15" fillId="3" borderId="93" xfId="0" applyNumberFormat="1" applyFont="1" applyFill="1" applyBorder="1" applyAlignment="1" applyProtection="1">
      <alignment horizontal="center" vertical="center"/>
      <protection locked="0"/>
    </xf>
    <xf numFmtId="3" fontId="15" fillId="3" borderId="94" xfId="0" applyNumberFormat="1" applyFont="1" applyFill="1" applyBorder="1" applyAlignment="1" applyProtection="1">
      <alignment horizontal="center" vertical="center"/>
      <protection locked="0"/>
    </xf>
    <xf numFmtId="3" fontId="15" fillId="4" borderId="150" xfId="0" applyNumberFormat="1" applyFont="1" applyFill="1" applyBorder="1" applyAlignment="1" applyProtection="1">
      <alignment horizontal="center" vertical="center"/>
    </xf>
    <xf numFmtId="0" fontId="12" fillId="0" borderId="96" xfId="0" applyFont="1" applyFill="1" applyBorder="1" applyAlignment="1" applyProtection="1">
      <alignment horizontal="left" vertical="center" wrapText="1"/>
      <protection locked="0"/>
    </xf>
    <xf numFmtId="0" fontId="12" fillId="3" borderId="1" xfId="13" applyNumberFormat="1" applyFont="1" applyFill="1" applyBorder="1" applyAlignment="1" applyProtection="1">
      <alignment horizontal="left" vertical="center" wrapText="1"/>
      <protection locked="0"/>
    </xf>
    <xf numFmtId="0" fontId="12" fillId="3" borderId="16" xfId="13" applyNumberFormat="1" applyFont="1" applyFill="1" applyBorder="1" applyAlignment="1" applyProtection="1">
      <alignment horizontal="left" vertical="center" wrapText="1"/>
      <protection locked="0"/>
    </xf>
    <xf numFmtId="0" fontId="2" fillId="3" borderId="0" xfId="13" applyNumberFormat="1" applyFill="1" applyProtection="1"/>
    <xf numFmtId="0" fontId="12" fillId="3" borderId="0" xfId="13" applyNumberFormat="1" applyFont="1" applyFill="1" applyBorder="1" applyAlignment="1" applyProtection="1">
      <alignment horizontal="left" vertical="center" wrapText="1"/>
      <protection locked="0"/>
    </xf>
    <xf numFmtId="0" fontId="12" fillId="0" borderId="0" xfId="13" applyNumberFormat="1" applyFont="1" applyProtection="1"/>
    <xf numFmtId="0" fontId="11" fillId="2" borderId="0" xfId="13" applyNumberFormat="1" applyFont="1" applyFill="1" applyBorder="1" applyAlignment="1" applyProtection="1">
      <alignment horizontal="center"/>
    </xf>
    <xf numFmtId="0" fontId="12" fillId="3" borderId="0" xfId="13" applyNumberFormat="1" applyFont="1" applyFill="1" applyProtection="1"/>
    <xf numFmtId="0" fontId="12" fillId="3" borderId="0" xfId="13" applyNumberFormat="1" applyFont="1" applyFill="1" applyBorder="1" applyAlignment="1" applyProtection="1">
      <alignment horizontal="left"/>
    </xf>
    <xf numFmtId="0" fontId="12" fillId="3" borderId="0" xfId="13" applyNumberFormat="1" applyFont="1" applyFill="1" applyBorder="1" applyAlignment="1" applyProtection="1"/>
    <xf numFmtId="164" fontId="12" fillId="3" borderId="1" xfId="1" applyFont="1" applyFill="1" applyBorder="1" applyAlignment="1" applyProtection="1">
      <alignment horizontal="right" vertical="center" wrapText="1"/>
      <protection locked="0"/>
    </xf>
    <xf numFmtId="174" fontId="12" fillId="3" borderId="1" xfId="1" applyNumberFormat="1" applyFont="1" applyFill="1" applyBorder="1" applyAlignment="1" applyProtection="1">
      <alignment horizontal="right" vertical="center" wrapText="1"/>
      <protection locked="0"/>
    </xf>
    <xf numFmtId="174" fontId="12" fillId="3" borderId="1" xfId="1" applyNumberFormat="1" applyFont="1" applyFill="1" applyBorder="1" applyAlignment="1" applyProtection="1">
      <alignment vertical="center" wrapText="1"/>
      <protection locked="0"/>
    </xf>
    <xf numFmtId="173" fontId="12" fillId="3" borderId="1" xfId="1" applyNumberFormat="1" applyFont="1" applyFill="1" applyBorder="1" applyAlignment="1" applyProtection="1">
      <alignment vertical="center" wrapText="1"/>
      <protection locked="0"/>
    </xf>
    <xf numFmtId="175" fontId="12" fillId="3" borderId="1" xfId="13" applyNumberFormat="1" applyFont="1" applyFill="1" applyBorder="1" applyAlignment="1" applyProtection="1">
      <alignment horizontal="left" vertical="center" wrapText="1"/>
      <protection locked="0"/>
    </xf>
    <xf numFmtId="176" fontId="12" fillId="3" borderId="1" xfId="13" applyNumberFormat="1" applyFont="1" applyFill="1" applyBorder="1" applyAlignment="1" applyProtection="1">
      <alignment horizontal="left" vertical="center" wrapText="1"/>
      <protection locked="0"/>
    </xf>
    <xf numFmtId="4" fontId="12" fillId="3" borderId="1" xfId="13" applyNumberFormat="1" applyFont="1" applyFill="1" applyBorder="1" applyAlignment="1" applyProtection="1">
      <alignment horizontal="right" vertical="center" wrapText="1"/>
      <protection locked="0"/>
    </xf>
    <xf numFmtId="175" fontId="12" fillId="3" borderId="1" xfId="13" applyNumberFormat="1" applyFont="1" applyFill="1" applyBorder="1" applyAlignment="1" applyProtection="1">
      <alignment horizontal="right" vertical="center" wrapText="1"/>
      <protection locked="0"/>
    </xf>
    <xf numFmtId="0" fontId="2" fillId="3" borderId="48" xfId="0" applyFont="1" applyFill="1" applyBorder="1" applyProtection="1"/>
    <xf numFmtId="177" fontId="12" fillId="0" borderId="75" xfId="19" applyNumberFormat="1" applyFont="1" applyFill="1" applyBorder="1" applyAlignment="1" applyProtection="1">
      <alignment horizontal="center" vertical="center" wrapText="1"/>
      <protection locked="0"/>
    </xf>
    <xf numFmtId="43" fontId="12" fillId="3" borderId="28" xfId="0" applyNumberFormat="1" applyFont="1" applyFill="1" applyBorder="1" applyAlignment="1" applyProtection="1">
      <alignment horizontal="center" vertical="center" wrapText="1"/>
      <protection locked="0"/>
    </xf>
    <xf numFmtId="43" fontId="12" fillId="3" borderId="1" xfId="0" applyNumberFormat="1" applyFont="1" applyFill="1" applyBorder="1" applyAlignment="1" applyProtection="1">
      <alignment horizontal="center" vertical="center" wrapText="1"/>
      <protection locked="0"/>
    </xf>
    <xf numFmtId="43" fontId="12" fillId="14" borderId="1" xfId="0" applyNumberFormat="1" applyFont="1" applyFill="1" applyBorder="1" applyAlignment="1" applyProtection="1">
      <alignment horizontal="center" vertical="center" wrapText="1"/>
    </xf>
    <xf numFmtId="43" fontId="12" fillId="4" borderId="1" xfId="0" applyNumberFormat="1" applyFont="1" applyFill="1" applyBorder="1" applyAlignment="1" applyProtection="1">
      <alignment horizontal="center" vertical="center" wrapText="1"/>
    </xf>
    <xf numFmtId="43" fontId="12" fillId="0" borderId="13" xfId="0" applyNumberFormat="1" applyFont="1" applyFill="1" applyBorder="1" applyAlignment="1" applyProtection="1">
      <alignment horizontal="center" vertical="center" wrapText="1"/>
      <protection locked="0"/>
    </xf>
    <xf numFmtId="43" fontId="12" fillId="0" borderId="1" xfId="0" applyNumberFormat="1" applyFont="1" applyFill="1" applyBorder="1" applyAlignment="1" applyProtection="1">
      <alignment horizontal="center" vertical="center"/>
      <protection locked="0"/>
    </xf>
    <xf numFmtId="9" fontId="12" fillId="0" borderId="13" xfId="19" applyFont="1" applyFill="1" applyBorder="1" applyAlignment="1" applyProtection="1">
      <alignment horizontal="center" vertical="center"/>
      <protection locked="0"/>
    </xf>
    <xf numFmtId="9" fontId="12" fillId="0" borderId="23" xfId="19" applyFont="1" applyFill="1" applyBorder="1" applyAlignment="1" applyProtection="1">
      <alignment horizontal="center" vertical="center"/>
      <protection locked="0"/>
    </xf>
    <xf numFmtId="9" fontId="12" fillId="3" borderId="120" xfId="19" applyFont="1" applyFill="1" applyBorder="1" applyAlignment="1" applyProtection="1">
      <alignment horizontal="center" vertical="center" wrapText="1"/>
      <protection locked="0"/>
    </xf>
    <xf numFmtId="9" fontId="12" fillId="3" borderId="1" xfId="19" applyFont="1" applyFill="1" applyBorder="1" applyAlignment="1" applyProtection="1">
      <alignment horizontal="center" vertical="center" wrapText="1"/>
      <protection locked="0"/>
    </xf>
    <xf numFmtId="43" fontId="12" fillId="15" borderId="1" xfId="0" applyNumberFormat="1" applyFont="1" applyFill="1" applyBorder="1" applyAlignment="1" applyProtection="1">
      <alignment horizontal="left" vertical="center"/>
    </xf>
    <xf numFmtId="43" fontId="12" fillId="9" borderId="75" xfId="0" applyNumberFormat="1" applyFont="1" applyFill="1" applyBorder="1" applyProtection="1">
      <protection locked="0"/>
    </xf>
    <xf numFmtId="43" fontId="12" fillId="9" borderId="1" xfId="0" applyNumberFormat="1" applyFont="1" applyFill="1" applyBorder="1" applyProtection="1">
      <protection locked="0"/>
    </xf>
    <xf numFmtId="0" fontId="2" fillId="3" borderId="0" xfId="0" applyFont="1" applyFill="1" applyAlignment="1" applyProtection="1">
      <alignment vertical="center"/>
      <protection locked="0"/>
    </xf>
    <xf numFmtId="0" fontId="12" fillId="3" borderId="0" xfId="0" applyFont="1" applyFill="1" applyBorder="1" applyAlignment="1" applyProtection="1">
      <alignment horizontal="left" wrapText="1" indent="1"/>
      <protection locked="0"/>
    </xf>
    <xf numFmtId="43" fontId="12" fillId="0" borderId="1" xfId="19" applyNumberFormat="1" applyFont="1" applyFill="1" applyBorder="1" applyAlignment="1" applyProtection="1">
      <alignment horizontal="center" vertical="center" wrapText="1"/>
      <protection locked="0"/>
    </xf>
    <xf numFmtId="43" fontId="12" fillId="0" borderId="6" xfId="0" applyNumberFormat="1" applyFont="1" applyFill="1" applyBorder="1" applyAlignment="1" applyProtection="1">
      <alignment horizontal="center" vertical="center"/>
      <protection locked="0"/>
    </xf>
    <xf numFmtId="0" fontId="12" fillId="0" borderId="70" xfId="0" applyFont="1" applyFill="1" applyBorder="1" applyAlignment="1" applyProtection="1">
      <alignment horizontal="left" vertical="center" wrapText="1" indent="1"/>
      <protection locked="0"/>
    </xf>
    <xf numFmtId="0" fontId="12" fillId="0" borderId="16" xfId="0" applyFont="1" applyFill="1" applyBorder="1" applyAlignment="1" applyProtection="1">
      <alignment horizontal="left" vertical="center" wrapText="1" indent="1"/>
      <protection locked="0"/>
    </xf>
    <xf numFmtId="0" fontId="13" fillId="4" borderId="100" xfId="0" applyFont="1" applyFill="1" applyBorder="1" applyAlignment="1" applyProtection="1">
      <alignment horizontal="left" vertical="center" wrapText="1"/>
      <protection locked="0"/>
    </xf>
    <xf numFmtId="0" fontId="12" fillId="4" borderId="27" xfId="0" applyFont="1" applyFill="1" applyBorder="1" applyAlignment="1" applyProtection="1">
      <alignment horizontal="left" vertical="center" wrapText="1"/>
      <protection locked="0"/>
    </xf>
    <xf numFmtId="0" fontId="12" fillId="4" borderId="25" xfId="0" applyFont="1" applyFill="1" applyBorder="1" applyAlignment="1" applyProtection="1">
      <alignment horizontal="left" vertical="center" wrapText="1"/>
      <protection locked="0"/>
    </xf>
    <xf numFmtId="0" fontId="13" fillId="4" borderId="23" xfId="0" applyFont="1" applyFill="1" applyBorder="1" applyAlignment="1" applyProtection="1">
      <alignment horizontal="left" vertical="center" wrapText="1"/>
      <protection locked="0"/>
    </xf>
    <xf numFmtId="0" fontId="13" fillId="4" borderId="27" xfId="0" applyFont="1" applyFill="1" applyBorder="1" applyAlignment="1" applyProtection="1">
      <alignment horizontal="left" vertical="center" wrapText="1"/>
      <protection locked="0"/>
    </xf>
    <xf numFmtId="0" fontId="13" fillId="4" borderId="148" xfId="0" applyFont="1" applyFill="1" applyBorder="1" applyAlignment="1" applyProtection="1">
      <alignment horizontal="left" vertical="center" wrapText="1"/>
      <protection locked="0"/>
    </xf>
    <xf numFmtId="0" fontId="0" fillId="4" borderId="0" xfId="0" applyFill="1" applyProtection="1"/>
    <xf numFmtId="49" fontId="12" fillId="0" borderId="1" xfId="19" applyNumberFormat="1" applyFont="1" applyFill="1" applyBorder="1" applyAlignment="1" applyProtection="1">
      <alignment horizontal="center" vertical="center" wrapText="1"/>
      <protection locked="0"/>
    </xf>
    <xf numFmtId="49" fontId="12" fillId="0" borderId="13" xfId="0" applyNumberFormat="1" applyFont="1" applyFill="1" applyBorder="1" applyAlignment="1" applyProtection="1">
      <alignment horizontal="center" vertical="center" wrapText="1"/>
      <protection locked="0"/>
    </xf>
    <xf numFmtId="49" fontId="12" fillId="0" borderId="1" xfId="0" applyNumberFormat="1" applyFont="1" applyFill="1" applyBorder="1" applyAlignment="1" applyProtection="1">
      <alignment horizontal="center" vertical="center"/>
      <protection locked="0"/>
    </xf>
    <xf numFmtId="49" fontId="12" fillId="3" borderId="28" xfId="0" applyNumberFormat="1"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xf>
    <xf numFmtId="0" fontId="12" fillId="0" borderId="0" xfId="0" applyFont="1" applyFill="1" applyBorder="1" applyAlignment="1" applyProtection="1">
      <alignment horizontal="left"/>
    </xf>
    <xf numFmtId="0" fontId="9" fillId="3" borderId="0" xfId="0" applyFont="1" applyFill="1" applyBorder="1" applyAlignment="1" applyProtection="1">
      <alignment horizontal="left"/>
    </xf>
    <xf numFmtId="0" fontId="4" fillId="3" borderId="0" xfId="0" applyFont="1" applyFill="1" applyBorder="1" applyAlignment="1" applyProtection="1">
      <alignment horizontal="left" indent="2"/>
    </xf>
    <xf numFmtId="0" fontId="7" fillId="3" borderId="0" xfId="0" applyFont="1" applyFill="1" applyBorder="1" applyAlignment="1" applyProtection="1">
      <alignment horizontal="left"/>
    </xf>
    <xf numFmtId="0" fontId="12" fillId="16" borderId="1" xfId="0" applyFont="1" applyFill="1" applyBorder="1" applyAlignment="1" applyProtection="1">
      <alignment horizontal="left"/>
    </xf>
    <xf numFmtId="0" fontId="12" fillId="17" borderId="1" xfId="0" applyFont="1" applyFill="1" applyBorder="1" applyAlignment="1" applyProtection="1">
      <alignment horizontal="left"/>
    </xf>
    <xf numFmtId="0" fontId="12" fillId="7" borderId="1" xfId="0" applyFont="1" applyFill="1" applyBorder="1" applyAlignment="1" applyProtection="1">
      <alignment horizontal="left"/>
    </xf>
    <xf numFmtId="0" fontId="12" fillId="18" borderId="1" xfId="0" applyFont="1" applyFill="1" applyBorder="1" applyAlignment="1" applyProtection="1">
      <alignment horizontal="left"/>
    </xf>
    <xf numFmtId="0" fontId="12" fillId="19" borderId="1" xfId="0" applyFont="1" applyFill="1" applyBorder="1" applyAlignment="1" applyProtection="1">
      <alignment horizontal="left"/>
    </xf>
    <xf numFmtId="0" fontId="4" fillId="3" borderId="54" xfId="0" applyFont="1" applyFill="1" applyBorder="1" applyAlignment="1" applyProtection="1">
      <alignment horizontal="left"/>
    </xf>
    <xf numFmtId="0" fontId="18" fillId="3" borderId="0" xfId="0" applyFont="1" applyFill="1" applyBorder="1" applyAlignment="1" applyProtection="1">
      <alignment horizontal="center" wrapText="1"/>
    </xf>
    <xf numFmtId="0" fontId="4" fillId="3" borderId="13" xfId="0" applyFont="1" applyFill="1" applyBorder="1" applyAlignment="1" applyProtection="1">
      <alignment horizontal="left" indent="2"/>
    </xf>
    <xf numFmtId="0" fontId="4" fillId="3" borderId="6" xfId="0" applyFont="1" applyFill="1" applyBorder="1" applyAlignment="1" applyProtection="1">
      <alignment horizontal="left" indent="2"/>
    </xf>
    <xf numFmtId="166" fontId="12" fillId="3" borderId="0" xfId="0" applyNumberFormat="1" applyFont="1" applyFill="1" applyBorder="1" applyAlignment="1" applyProtection="1">
      <alignment horizontal="left"/>
    </xf>
    <xf numFmtId="3" fontId="12" fillId="3" borderId="0" xfId="0" applyNumberFormat="1" applyFont="1" applyFill="1" applyBorder="1" applyAlignment="1" applyProtection="1">
      <alignment horizontal="right"/>
      <protection locked="0"/>
    </xf>
    <xf numFmtId="3" fontId="12" fillId="3" borderId="0" xfId="0" applyNumberFormat="1" applyFont="1" applyFill="1" applyBorder="1" applyAlignment="1" applyProtection="1">
      <alignment horizontal="right"/>
    </xf>
    <xf numFmtId="3" fontId="12" fillId="3" borderId="0" xfId="0" applyNumberFormat="1" applyFont="1" applyFill="1" applyBorder="1" applyAlignment="1" applyProtection="1">
      <alignment horizontal="left"/>
    </xf>
    <xf numFmtId="3" fontId="13" fillId="3" borderId="0" xfId="0" applyNumberFormat="1" applyFont="1" applyFill="1" applyBorder="1" applyAlignment="1" applyProtection="1">
      <alignment horizontal="right"/>
    </xf>
    <xf numFmtId="0" fontId="85" fillId="3" borderId="0" xfId="0" applyFont="1" applyFill="1" applyBorder="1" applyAlignment="1" applyProtection="1">
      <alignment horizontal="left" indent="1"/>
    </xf>
    <xf numFmtId="166" fontId="12" fillId="14" borderId="55" xfId="0" applyNumberFormat="1" applyFont="1" applyFill="1" applyBorder="1" applyAlignment="1" applyProtection="1">
      <alignment horizontal="left"/>
    </xf>
    <xf numFmtId="3" fontId="15" fillId="3" borderId="0" xfId="0" applyNumberFormat="1" applyFont="1" applyFill="1" applyBorder="1" applyAlignment="1" applyProtection="1">
      <alignment horizontal="right"/>
      <protection locked="0"/>
    </xf>
    <xf numFmtId="0" fontId="12" fillId="3" borderId="0" xfId="0" applyFont="1" applyFill="1" applyBorder="1" applyAlignment="1" applyProtection="1">
      <alignment horizontal="center"/>
    </xf>
    <xf numFmtId="0" fontId="15" fillId="3" borderId="101" xfId="0" applyFont="1" applyFill="1" applyBorder="1" applyAlignment="1" applyProtection="1"/>
    <xf numFmtId="0" fontId="15" fillId="3" borderId="102" xfId="0" applyFont="1" applyFill="1" applyBorder="1" applyAlignment="1" applyProtection="1">
      <alignment horizontal="center"/>
    </xf>
    <xf numFmtId="0" fontId="15" fillId="3" borderId="55" xfId="0" applyFont="1" applyFill="1" applyBorder="1" applyAlignment="1" applyProtection="1"/>
    <xf numFmtId="0" fontId="86" fillId="3" borderId="32" xfId="0" applyFont="1" applyFill="1" applyBorder="1" applyAlignment="1" applyProtection="1"/>
    <xf numFmtId="0" fontId="86" fillId="3" borderId="0" xfId="0" applyFont="1" applyFill="1" applyBorder="1" applyAlignment="1" applyProtection="1"/>
    <xf numFmtId="3" fontId="13" fillId="4" borderId="1" xfId="0" applyNumberFormat="1" applyFont="1" applyFill="1" applyBorder="1" applyAlignment="1" applyProtection="1">
      <alignment horizontal="right"/>
    </xf>
    <xf numFmtId="3" fontId="12" fillId="14" borderId="54" xfId="0" applyNumberFormat="1" applyFont="1" applyFill="1" applyBorder="1" applyAlignment="1" applyProtection="1"/>
    <xf numFmtId="3" fontId="12" fillId="14" borderId="54" xfId="0" applyNumberFormat="1" applyFont="1" applyFill="1" applyBorder="1" applyAlignment="1" applyProtection="1">
      <alignment horizontal="right"/>
    </xf>
    <xf numFmtId="0" fontId="12" fillId="3" borderId="54" xfId="0" applyFont="1" applyFill="1" applyBorder="1" applyAlignment="1" applyProtection="1">
      <alignment horizontal="center"/>
      <protection locked="0"/>
    </xf>
    <xf numFmtId="3" fontId="23" fillId="0" borderId="1" xfId="0" applyNumberFormat="1" applyFont="1" applyBorder="1" applyAlignment="1" applyProtection="1">
      <alignment horizontal="center" vertical="center"/>
    </xf>
    <xf numFmtId="0" fontId="13" fillId="3" borderId="0" xfId="0" applyNumberFormat="1" applyFont="1" applyFill="1" applyBorder="1" applyAlignment="1" applyProtection="1">
      <protection locked="0"/>
    </xf>
    <xf numFmtId="0" fontId="18" fillId="3" borderId="0" xfId="0" applyFont="1" applyFill="1" applyBorder="1" applyAlignment="1" applyProtection="1">
      <alignment horizontal="center"/>
    </xf>
    <xf numFmtId="3" fontId="12" fillId="0" borderId="53" xfId="0" applyNumberFormat="1" applyFont="1" applyFill="1" applyBorder="1" applyAlignment="1" applyProtection="1">
      <alignment horizontal="center"/>
    </xf>
    <xf numFmtId="3" fontId="12" fillId="0" borderId="35" xfId="0" applyNumberFormat="1" applyFont="1" applyFill="1" applyBorder="1" applyAlignment="1" applyProtection="1">
      <alignment horizontal="right"/>
      <protection locked="0"/>
    </xf>
    <xf numFmtId="3" fontId="12" fillId="4" borderId="0" xfId="0" applyNumberFormat="1" applyFont="1" applyFill="1" applyBorder="1" applyAlignment="1" applyProtection="1">
      <alignment horizontal="right"/>
    </xf>
    <xf numFmtId="0" fontId="12" fillId="3" borderId="0" xfId="0" applyFont="1" applyFill="1" applyBorder="1" applyAlignment="1" applyProtection="1">
      <alignment horizontal="center"/>
      <protection locked="0"/>
    </xf>
    <xf numFmtId="0" fontId="12" fillId="3" borderId="0" xfId="0" applyFont="1" applyFill="1" applyBorder="1" applyAlignment="1" applyProtection="1">
      <alignment wrapText="1"/>
    </xf>
    <xf numFmtId="0" fontId="12" fillId="3" borderId="0" xfId="0" applyFont="1" applyFill="1" applyAlignment="1" applyProtection="1">
      <alignment vertical="center"/>
    </xf>
    <xf numFmtId="165" fontId="12" fillId="3" borderId="0" xfId="1" applyNumberFormat="1" applyFont="1" applyFill="1" applyAlignment="1" applyProtection="1">
      <alignment horizontal="left" vertical="center"/>
    </xf>
    <xf numFmtId="0" fontId="12" fillId="0" borderId="34" xfId="0" applyFont="1" applyFill="1" applyBorder="1" applyAlignment="1" applyProtection="1">
      <alignment horizontal="left" vertical="center" indent="1"/>
    </xf>
    <xf numFmtId="0" fontId="12" fillId="0" borderId="48" xfId="0" applyFont="1" applyFill="1" applyBorder="1" applyAlignment="1" applyProtection="1">
      <alignment horizontal="left" vertical="center" wrapText="1"/>
    </xf>
    <xf numFmtId="0" fontId="11" fillId="3" borderId="0" xfId="0" applyFont="1" applyFill="1" applyBorder="1" applyAlignment="1" applyProtection="1">
      <alignment horizontal="left"/>
    </xf>
    <xf numFmtId="0" fontId="87" fillId="3" borderId="0" xfId="0" applyFont="1" applyFill="1" applyBorder="1" applyAlignment="1" applyProtection="1"/>
    <xf numFmtId="0" fontId="18" fillId="3" borderId="1" xfId="0" applyFont="1" applyFill="1" applyBorder="1" applyAlignment="1" applyProtection="1">
      <alignment horizontal="center" wrapText="1"/>
      <protection locked="0"/>
    </xf>
    <xf numFmtId="0" fontId="12" fillId="3" borderId="0" xfId="0" applyFont="1" applyFill="1" applyBorder="1" applyAlignment="1" applyProtection="1">
      <alignment horizontal="center" wrapText="1"/>
    </xf>
    <xf numFmtId="0" fontId="13" fillId="3" borderId="0" xfId="0" applyFont="1" applyFill="1" applyBorder="1" applyAlignment="1" applyProtection="1">
      <alignment vertical="center"/>
    </xf>
    <xf numFmtId="0" fontId="13" fillId="3" borderId="0" xfId="0" applyFont="1" applyFill="1" applyBorder="1" applyProtection="1"/>
    <xf numFmtId="0" fontId="12" fillId="3" borderId="0" xfId="0" applyFont="1" applyFill="1" applyBorder="1" applyAlignment="1" applyProtection="1">
      <alignment horizontal="left"/>
    </xf>
    <xf numFmtId="0" fontId="6" fillId="0" borderId="32" xfId="0" applyFont="1" applyFill="1" applyBorder="1" applyAlignment="1" applyProtection="1">
      <alignment horizontal="left"/>
    </xf>
    <xf numFmtId="0" fontId="6" fillId="0" borderId="47" xfId="0" applyFont="1" applyFill="1" applyBorder="1" applyAlignment="1" applyProtection="1">
      <alignment horizontal="left"/>
    </xf>
    <xf numFmtId="0" fontId="0" fillId="3" borderId="41" xfId="0" applyFill="1" applyBorder="1" applyProtection="1"/>
    <xf numFmtId="0" fontId="12" fillId="3" borderId="99" xfId="0" applyFont="1" applyFill="1" applyBorder="1" applyAlignment="1" applyProtection="1">
      <alignment horizontal="left" vertical="center" wrapText="1" indent="1"/>
    </xf>
    <xf numFmtId="0" fontId="80" fillId="3" borderId="0" xfId="0" applyFont="1" applyFill="1" applyBorder="1" applyAlignment="1" applyProtection="1">
      <alignment horizontal="left"/>
    </xf>
    <xf numFmtId="0" fontId="28" fillId="3" borderId="0" xfId="0" applyFont="1" applyFill="1" applyBorder="1" applyAlignment="1" applyProtection="1">
      <alignment horizontal="left"/>
    </xf>
    <xf numFmtId="0" fontId="0" fillId="0" borderId="32" xfId="0" applyBorder="1" applyAlignment="1" applyProtection="1">
      <alignment vertical="center"/>
    </xf>
    <xf numFmtId="0" fontId="4" fillId="0" borderId="47" xfId="0" applyFont="1" applyBorder="1" applyProtection="1"/>
    <xf numFmtId="0" fontId="11" fillId="0" borderId="41" xfId="0" applyFont="1" applyFill="1" applyBorder="1" applyAlignment="1" applyProtection="1">
      <alignment horizontal="center"/>
    </xf>
    <xf numFmtId="3" fontId="13" fillId="0" borderId="151" xfId="0" applyNumberFormat="1" applyFont="1" applyFill="1" applyBorder="1" applyAlignment="1" applyProtection="1">
      <alignment horizontal="center"/>
      <protection locked="0"/>
    </xf>
    <xf numFmtId="3" fontId="13" fillId="0" borderId="32" xfId="0" applyNumberFormat="1" applyFont="1" applyFill="1" applyBorder="1" applyAlignment="1" applyProtection="1">
      <alignment vertical="top"/>
    </xf>
    <xf numFmtId="3" fontId="12" fillId="0" borderId="41" xfId="0" applyNumberFormat="1" applyFont="1" applyBorder="1" applyProtection="1"/>
    <xf numFmtId="0" fontId="12" fillId="0" borderId="47" xfId="0" applyFont="1" applyBorder="1" applyProtection="1"/>
    <xf numFmtId="0" fontId="13" fillId="0" borderId="33" xfId="0" applyFont="1" applyFill="1" applyBorder="1" applyAlignment="1" applyProtection="1">
      <alignment vertical="top"/>
    </xf>
    <xf numFmtId="0" fontId="13" fillId="0" borderId="45" xfId="0" applyFont="1" applyFill="1" applyBorder="1" applyAlignment="1" applyProtection="1">
      <alignment horizontal="center" vertical="top"/>
    </xf>
    <xf numFmtId="0" fontId="0" fillId="0" borderId="46" xfId="0" applyBorder="1" applyProtection="1"/>
    <xf numFmtId="0" fontId="0" fillId="0" borderId="68" xfId="0" applyBorder="1" applyProtection="1"/>
    <xf numFmtId="0" fontId="0" fillId="0" borderId="99" xfId="0" applyBorder="1" applyProtection="1"/>
    <xf numFmtId="0" fontId="17" fillId="3" borderId="46" xfId="0" applyFont="1" applyFill="1" applyBorder="1" applyAlignment="1" applyProtection="1">
      <alignment horizontal="left"/>
    </xf>
    <xf numFmtId="0" fontId="17" fillId="3" borderId="99" xfId="0" applyFont="1" applyFill="1" applyBorder="1" applyAlignment="1" applyProtection="1">
      <alignment horizontal="left"/>
    </xf>
    <xf numFmtId="0" fontId="4" fillId="3" borderId="33" xfId="0" applyFont="1" applyFill="1" applyBorder="1" applyProtection="1"/>
    <xf numFmtId="165" fontId="4" fillId="3" borderId="33" xfId="1" applyNumberFormat="1" applyFont="1" applyFill="1" applyBorder="1" applyProtection="1"/>
    <xf numFmtId="0" fontId="0" fillId="3" borderId="47" xfId="0" applyFill="1" applyBorder="1" applyAlignment="1" applyProtection="1">
      <alignment horizontal="center"/>
    </xf>
    <xf numFmtId="0" fontId="17" fillId="0" borderId="45" xfId="0" applyFont="1" applyFill="1" applyBorder="1" applyAlignment="1" applyProtection="1">
      <alignment horizontal="left"/>
    </xf>
    <xf numFmtId="0" fontId="17" fillId="0" borderId="41" xfId="0" applyFont="1" applyFill="1" applyBorder="1" applyAlignment="1" applyProtection="1">
      <alignment horizontal="center"/>
    </xf>
    <xf numFmtId="9" fontId="86" fillId="14" borderId="1" xfId="19" applyFont="1" applyFill="1" applyBorder="1" applyProtection="1"/>
    <xf numFmtId="1" fontId="2" fillId="14" borderId="1" xfId="19" applyNumberFormat="1" applyFont="1" applyFill="1" applyBorder="1" applyProtection="1"/>
    <xf numFmtId="0" fontId="18" fillId="3" borderId="1" xfId="0" applyFont="1" applyFill="1" applyBorder="1" applyAlignment="1" applyProtection="1">
      <alignment horizontal="center"/>
      <protection locked="0"/>
    </xf>
    <xf numFmtId="1" fontId="12" fillId="3" borderId="1" xfId="0" applyNumberFormat="1" applyFont="1" applyFill="1" applyBorder="1" applyAlignment="1" applyProtection="1">
      <alignment horizontal="center"/>
      <protection locked="0"/>
    </xf>
    <xf numFmtId="0" fontId="28" fillId="14" borderId="0" xfId="0" applyFont="1" applyFill="1" applyBorder="1" applyAlignment="1" applyProtection="1">
      <alignment horizontal="left"/>
    </xf>
    <xf numFmtId="0" fontId="46" fillId="3" borderId="0" xfId="0" applyFont="1" applyFill="1" applyBorder="1" applyAlignment="1" applyProtection="1">
      <alignment horizontal="left"/>
    </xf>
    <xf numFmtId="0" fontId="2" fillId="3" borderId="0" xfId="0" applyFont="1" applyFill="1" applyBorder="1" applyAlignment="1" applyProtection="1">
      <alignment horizontal="left"/>
    </xf>
    <xf numFmtId="0" fontId="2" fillId="3" borderId="0" xfId="0" applyFont="1" applyFill="1" applyBorder="1" applyAlignment="1" applyProtection="1">
      <alignment horizontal="left" wrapText="1"/>
    </xf>
    <xf numFmtId="0" fontId="18" fillId="3" borderId="0" xfId="0" applyFont="1" applyFill="1" applyBorder="1" applyAlignment="1" applyProtection="1">
      <alignment horizontal="center" wrapText="1"/>
      <protection locked="0"/>
    </xf>
    <xf numFmtId="0" fontId="13" fillId="3" borderId="0" xfId="0" applyFont="1" applyFill="1" applyAlignment="1" applyProtection="1">
      <alignment horizontal="left" indent="1"/>
    </xf>
    <xf numFmtId="0" fontId="12" fillId="3" borderId="0" xfId="0" applyFont="1" applyFill="1" applyAlignment="1" applyProtection="1"/>
    <xf numFmtId="0" fontId="11" fillId="2" borderId="95" xfId="0" applyFont="1" applyFill="1" applyBorder="1" applyAlignment="1" applyProtection="1">
      <alignment vertical="center"/>
    </xf>
    <xf numFmtId="0" fontId="11" fillId="2" borderId="75" xfId="0" applyFont="1" applyFill="1" applyBorder="1" applyAlignment="1" applyProtection="1">
      <alignment vertical="center"/>
    </xf>
    <xf numFmtId="0" fontId="11" fillId="2" borderId="152" xfId="0" applyFont="1" applyFill="1" applyBorder="1" applyAlignment="1" applyProtection="1">
      <alignment vertical="center"/>
    </xf>
    <xf numFmtId="0" fontId="11" fillId="2" borderId="85" xfId="0" applyFont="1" applyFill="1" applyBorder="1" applyAlignment="1" applyProtection="1">
      <alignment vertical="center"/>
    </xf>
    <xf numFmtId="0" fontId="11" fillId="2" borderId="97" xfId="0" applyFont="1" applyFill="1" applyBorder="1" applyAlignment="1" applyProtection="1">
      <alignment vertical="center"/>
    </xf>
    <xf numFmtId="0" fontId="11" fillId="2" borderId="150" xfId="0" applyFont="1" applyFill="1" applyBorder="1" applyAlignment="1" applyProtection="1">
      <alignment vertical="center"/>
    </xf>
    <xf numFmtId="0" fontId="11" fillId="2" borderId="92" xfId="0" applyFont="1" applyFill="1" applyBorder="1" applyAlignment="1" applyProtection="1">
      <alignment vertical="center"/>
    </xf>
    <xf numFmtId="0" fontId="11" fillId="2" borderId="93" xfId="0" applyFont="1" applyFill="1" applyBorder="1" applyAlignment="1" applyProtection="1">
      <alignment vertical="center"/>
    </xf>
    <xf numFmtId="0" fontId="4" fillId="0" borderId="45" xfId="0" applyFont="1" applyBorder="1" applyProtection="1"/>
    <xf numFmtId="0" fontId="4" fillId="0" borderId="65" xfId="0" applyFont="1" applyBorder="1" applyProtection="1"/>
    <xf numFmtId="0" fontId="4" fillId="0" borderId="41" xfId="0" applyFont="1" applyBorder="1" applyProtection="1"/>
    <xf numFmtId="0" fontId="17" fillId="0" borderId="41" xfId="0" applyFont="1" applyFill="1" applyBorder="1" applyAlignment="1" applyProtection="1">
      <alignment horizontal="left"/>
    </xf>
    <xf numFmtId="0" fontId="52" fillId="3" borderId="0" xfId="0" applyFont="1" applyFill="1" applyBorder="1" applyAlignment="1" applyProtection="1">
      <alignment horizontal="left" wrapText="1"/>
    </xf>
    <xf numFmtId="0" fontId="51" fillId="3" borderId="0" xfId="0" applyFont="1" applyFill="1" applyBorder="1" applyAlignment="1" applyProtection="1">
      <alignment horizontal="left" wrapText="1"/>
    </xf>
    <xf numFmtId="0" fontId="15" fillId="3" borderId="31" xfId="0" applyFont="1" applyFill="1" applyBorder="1" applyAlignment="1" applyProtection="1">
      <alignment vertical="center"/>
    </xf>
    <xf numFmtId="0" fontId="15" fillId="3" borderId="34" xfId="0" applyFont="1" applyFill="1" applyBorder="1" applyAlignment="1" applyProtection="1">
      <alignment vertical="center"/>
    </xf>
    <xf numFmtId="165" fontId="4" fillId="3" borderId="32" xfId="1" applyNumberFormat="1" applyFont="1" applyFill="1" applyBorder="1" applyProtection="1"/>
    <xf numFmtId="165" fontId="4" fillId="3" borderId="34" xfId="1" applyNumberFormat="1" applyFont="1" applyFill="1" applyBorder="1" applyProtection="1"/>
    <xf numFmtId="0" fontId="0" fillId="3" borderId="34" xfId="0" applyFill="1" applyBorder="1" applyProtection="1"/>
    <xf numFmtId="0" fontId="4" fillId="3" borderId="0" xfId="0" applyFont="1" applyFill="1" applyBorder="1" applyAlignment="1" applyProtection="1">
      <alignment horizontal="center" vertical="center" wrapText="1"/>
    </xf>
    <xf numFmtId="0" fontId="9" fillId="0" borderId="0" xfId="0" applyFont="1" applyAlignment="1" applyProtection="1">
      <alignment horizontal="left" vertical="center"/>
    </xf>
    <xf numFmtId="3" fontId="64" fillId="3" borderId="0" xfId="0" applyNumberFormat="1" applyFont="1" applyFill="1" applyAlignment="1" applyProtection="1">
      <alignment horizontal="left"/>
    </xf>
    <xf numFmtId="0" fontId="65" fillId="14" borderId="98" xfId="0" applyFont="1" applyFill="1" applyBorder="1" applyAlignment="1" applyProtection="1">
      <alignment horizontal="left"/>
    </xf>
    <xf numFmtId="0" fontId="0" fillId="14" borderId="103" xfId="0" applyFill="1" applyBorder="1" applyAlignment="1" applyProtection="1">
      <alignment horizontal="center"/>
    </xf>
    <xf numFmtId="0" fontId="0" fillId="14" borderId="123" xfId="0" applyFill="1" applyBorder="1" applyProtection="1"/>
    <xf numFmtId="0" fontId="12" fillId="3" borderId="34" xfId="0" applyFont="1" applyFill="1" applyBorder="1" applyAlignment="1" applyProtection="1">
      <alignment vertical="center"/>
    </xf>
    <xf numFmtId="0" fontId="13" fillId="3" borderId="32" xfId="0" applyFont="1" applyFill="1" applyBorder="1" applyAlignment="1" applyProtection="1">
      <alignment horizontal="center" vertical="top"/>
    </xf>
    <xf numFmtId="0" fontId="13" fillId="3" borderId="48" xfId="0" applyFont="1" applyFill="1" applyBorder="1" applyAlignment="1" applyProtection="1">
      <alignment horizontal="center" vertical="top"/>
    </xf>
    <xf numFmtId="0" fontId="13" fillId="3" borderId="99" xfId="0" applyFont="1" applyFill="1" applyBorder="1" applyAlignment="1" applyProtection="1">
      <alignment vertical="top"/>
    </xf>
    <xf numFmtId="0" fontId="13" fillId="3" borderId="46" xfId="0" applyFont="1" applyFill="1" applyBorder="1" applyAlignment="1" applyProtection="1">
      <alignment vertical="top"/>
    </xf>
    <xf numFmtId="0" fontId="9" fillId="3" borderId="34" xfId="0" applyFont="1" applyFill="1" applyBorder="1" applyProtection="1"/>
    <xf numFmtId="0" fontId="0" fillId="3" borderId="48" xfId="0" applyFill="1" applyBorder="1" applyProtection="1"/>
    <xf numFmtId="0" fontId="12" fillId="3" borderId="32" xfId="0" applyFont="1" applyFill="1" applyBorder="1" applyProtection="1"/>
    <xf numFmtId="0" fontId="12" fillId="3" borderId="47" xfId="0" applyFont="1" applyFill="1" applyBorder="1" applyAlignment="1" applyProtection="1"/>
    <xf numFmtId="0" fontId="12" fillId="3" borderId="35" xfId="0" applyFont="1" applyFill="1" applyBorder="1" applyAlignment="1" applyProtection="1"/>
    <xf numFmtId="0" fontId="12" fillId="3" borderId="34" xfId="0" quotePrefix="1" applyFont="1" applyFill="1" applyBorder="1" applyAlignment="1" applyProtection="1"/>
    <xf numFmtId="0" fontId="13" fillId="3" borderId="33" xfId="0" applyFont="1" applyFill="1" applyBorder="1" applyAlignment="1" applyProtection="1"/>
    <xf numFmtId="0" fontId="2" fillId="3" borderId="34" xfId="0" applyFont="1" applyFill="1" applyBorder="1" applyAlignment="1" applyProtection="1"/>
    <xf numFmtId="0" fontId="12" fillId="3" borderId="48" xfId="0" applyFont="1" applyFill="1" applyBorder="1" applyAlignment="1" applyProtection="1"/>
    <xf numFmtId="0" fontId="26" fillId="3" borderId="0" xfId="13" applyFont="1" applyFill="1" applyBorder="1" applyAlignment="1" applyProtection="1">
      <alignment horizontal="left"/>
    </xf>
    <xf numFmtId="0" fontId="26" fillId="3" borderId="98" xfId="0" applyFont="1" applyFill="1" applyBorder="1" applyAlignment="1" applyProtection="1"/>
    <xf numFmtId="0" fontId="26" fillId="3" borderId="103" xfId="0" applyFont="1" applyFill="1" applyBorder="1" applyAlignment="1" applyProtection="1"/>
    <xf numFmtId="0" fontId="6" fillId="3" borderId="34" xfId="0" applyFont="1" applyFill="1" applyBorder="1" applyAlignment="1" applyProtection="1">
      <alignment horizontal="left"/>
    </xf>
    <xf numFmtId="0" fontId="17" fillId="3" borderId="34" xfId="0" applyFont="1" applyFill="1" applyBorder="1" applyAlignment="1" applyProtection="1">
      <alignment horizontal="left"/>
    </xf>
    <xf numFmtId="0" fontId="17" fillId="3" borderId="32" xfId="0" applyFont="1" applyFill="1" applyBorder="1" applyAlignment="1" applyProtection="1">
      <alignment horizontal="left"/>
    </xf>
    <xf numFmtId="0" fontId="13" fillId="5" borderId="122" xfId="0" applyFont="1" applyFill="1" applyBorder="1" applyAlignment="1" applyProtection="1">
      <alignment horizontal="center" vertical="center"/>
    </xf>
    <xf numFmtId="0" fontId="6" fillId="3" borderId="34" xfId="0" applyFont="1" applyFill="1" applyBorder="1" applyAlignment="1" applyProtection="1">
      <alignment vertical="center"/>
    </xf>
    <xf numFmtId="0" fontId="6" fillId="3" borderId="34" xfId="0" applyFont="1" applyFill="1" applyBorder="1" applyProtection="1"/>
    <xf numFmtId="0" fontId="4" fillId="3" borderId="32" xfId="0" applyFont="1" applyFill="1" applyBorder="1" applyProtection="1"/>
    <xf numFmtId="0" fontId="12" fillId="3" borderId="41" xfId="0" applyFont="1" applyFill="1" applyBorder="1" applyAlignment="1" applyProtection="1"/>
    <xf numFmtId="0" fontId="12" fillId="3" borderId="45" xfId="0" applyFont="1" applyFill="1" applyBorder="1" applyAlignment="1" applyProtection="1">
      <alignment horizontal="right"/>
    </xf>
    <xf numFmtId="0" fontId="12" fillId="3" borderId="47" xfId="0" applyFont="1" applyFill="1" applyBorder="1" applyAlignment="1" applyProtection="1">
      <alignment horizontal="right" wrapText="1"/>
    </xf>
    <xf numFmtId="3" fontId="23" fillId="3" borderId="1" xfId="0" applyNumberFormat="1" applyFont="1" applyFill="1" applyBorder="1" applyAlignment="1" applyProtection="1">
      <alignment horizontal="center" vertical="center"/>
    </xf>
    <xf numFmtId="0" fontId="23" fillId="5" borderId="1" xfId="0" applyFont="1" applyFill="1" applyBorder="1" applyAlignment="1" applyProtection="1">
      <alignment horizontal="center" vertical="center" wrapText="1"/>
    </xf>
    <xf numFmtId="0" fontId="12" fillId="3" borderId="48" xfId="0" applyFont="1" applyFill="1" applyBorder="1" applyAlignment="1" applyProtection="1">
      <alignment horizontal="left" vertical="center" wrapText="1"/>
    </xf>
    <xf numFmtId="0" fontId="12" fillId="3" borderId="0" xfId="0" quotePrefix="1" applyFont="1" applyFill="1" applyAlignment="1" applyProtection="1"/>
    <xf numFmtId="0" fontId="12" fillId="3" borderId="68" xfId="0" quotePrefix="1" applyFont="1" applyFill="1" applyBorder="1" applyAlignment="1" applyProtection="1"/>
    <xf numFmtId="0" fontId="2" fillId="3" borderId="41" xfId="0" quotePrefix="1" applyFont="1" applyFill="1" applyBorder="1" applyAlignment="1" applyProtection="1"/>
    <xf numFmtId="0" fontId="12" fillId="0" borderId="48" xfId="0" applyFont="1" applyFill="1" applyBorder="1" applyAlignment="1" applyProtection="1">
      <alignment horizontal="left" vertical="center"/>
    </xf>
    <xf numFmtId="0" fontId="13" fillId="3" borderId="93" xfId="13" applyFont="1" applyFill="1" applyBorder="1" applyAlignment="1" applyProtection="1">
      <alignment vertical="center"/>
    </xf>
    <xf numFmtId="0" fontId="13" fillId="3" borderId="94" xfId="13" applyFont="1" applyFill="1" applyBorder="1" applyAlignment="1" applyProtection="1">
      <alignment vertical="center"/>
    </xf>
    <xf numFmtId="0" fontId="12" fillId="0" borderId="47" xfId="0" applyFont="1" applyFill="1" applyBorder="1" applyAlignment="1" applyProtection="1">
      <alignment vertical="center"/>
    </xf>
    <xf numFmtId="0" fontId="12" fillId="0" borderId="153" xfId="0" applyFont="1" applyFill="1" applyBorder="1" applyAlignment="1" applyProtection="1"/>
    <xf numFmtId="0" fontId="12" fillId="0" borderId="47" xfId="0" applyFont="1" applyFill="1" applyBorder="1" applyAlignment="1" applyProtection="1"/>
    <xf numFmtId="0" fontId="12" fillId="0" borderId="0" xfId="0" quotePrefix="1" applyFont="1" applyFill="1" applyBorder="1" applyAlignment="1" applyProtection="1"/>
    <xf numFmtId="0" fontId="2" fillId="0" borderId="0" xfId="0" applyFont="1" applyBorder="1" applyAlignment="1" applyProtection="1"/>
    <xf numFmtId="0" fontId="12" fillId="0" borderId="93" xfId="0" applyFont="1" applyFill="1" applyBorder="1" applyAlignment="1" applyProtection="1">
      <alignment horizontal="center" vertical="center" wrapText="1"/>
      <protection locked="0"/>
    </xf>
    <xf numFmtId="170" fontId="12" fillId="4" borderId="85" xfId="0" applyNumberFormat="1" applyFont="1" applyFill="1" applyBorder="1" applyAlignment="1" applyProtection="1">
      <alignment horizontal="center" vertical="center" wrapText="1"/>
    </xf>
    <xf numFmtId="0" fontId="12" fillId="4" borderId="85" xfId="0" applyFont="1" applyFill="1" applyBorder="1" applyAlignment="1" applyProtection="1">
      <alignment horizontal="center" vertical="center" wrapText="1"/>
    </xf>
    <xf numFmtId="15" fontId="12" fillId="3" borderId="85" xfId="0" applyNumberFormat="1" applyFont="1" applyFill="1" applyBorder="1" applyAlignment="1" applyProtection="1">
      <alignment horizontal="center" vertical="center"/>
      <protection locked="0"/>
    </xf>
    <xf numFmtId="0" fontId="13" fillId="5" borderId="123" xfId="0" applyFont="1" applyFill="1" applyBorder="1" applyAlignment="1" applyProtection="1">
      <alignment horizontal="center" vertical="center" wrapText="1"/>
    </xf>
    <xf numFmtId="0" fontId="12" fillId="0" borderId="154" xfId="0" applyFont="1" applyFill="1" applyBorder="1" applyAlignment="1" applyProtection="1">
      <alignment horizontal="left" vertical="center"/>
      <protection locked="0"/>
    </xf>
    <xf numFmtId="0" fontId="12" fillId="0" borderId="70" xfId="0" applyFont="1" applyFill="1" applyBorder="1" applyAlignment="1" applyProtection="1">
      <alignment horizontal="left" vertical="center"/>
      <protection locked="0"/>
    </xf>
    <xf numFmtId="0" fontId="12" fillId="0" borderId="89" xfId="0" applyFont="1" applyFill="1" applyBorder="1" applyAlignment="1" applyProtection="1">
      <alignment horizontal="left" vertical="center"/>
      <protection locked="0"/>
    </xf>
    <xf numFmtId="3" fontId="12" fillId="4" borderId="150" xfId="0" applyNumberFormat="1" applyFont="1" applyFill="1" applyBorder="1" applyAlignment="1" applyProtection="1">
      <alignment horizontal="center" vertical="center"/>
    </xf>
    <xf numFmtId="0" fontId="15" fillId="0" borderId="0" xfId="0" applyFont="1" applyFill="1" applyBorder="1" applyAlignment="1" applyProtection="1"/>
    <xf numFmtId="0" fontId="15" fillId="3" borderId="54" xfId="0" applyFont="1" applyFill="1" applyBorder="1" applyAlignment="1" applyProtection="1"/>
    <xf numFmtId="0" fontId="15" fillId="0" borderId="68" xfId="0" applyFont="1" applyBorder="1" applyAlignment="1" applyProtection="1"/>
    <xf numFmtId="0" fontId="15" fillId="0" borderId="99" xfId="0" applyFont="1" applyBorder="1" applyAlignment="1" applyProtection="1"/>
    <xf numFmtId="171" fontId="8" fillId="3" borderId="69" xfId="0" applyNumberFormat="1" applyFont="1" applyFill="1" applyBorder="1" applyAlignment="1" applyProtection="1">
      <alignment horizontal="center" vertical="center" wrapText="1"/>
      <protection locked="0"/>
    </xf>
    <xf numFmtId="0" fontId="13" fillId="5" borderId="1" xfId="0" applyFont="1" applyFill="1" applyBorder="1" applyAlignment="1" applyProtection="1">
      <alignment horizontal="center" vertical="center" wrapText="1"/>
    </xf>
    <xf numFmtId="3" fontId="12" fillId="3" borderId="85" xfId="0" applyNumberFormat="1" applyFont="1" applyFill="1" applyBorder="1" applyAlignment="1" applyProtection="1">
      <alignment horizontal="center" vertical="center" wrapText="1"/>
      <protection locked="0"/>
    </xf>
    <xf numFmtId="0" fontId="13" fillId="5" borderId="122" xfId="0" applyFont="1" applyFill="1" applyBorder="1" applyAlignment="1" applyProtection="1">
      <alignment horizontal="center" vertical="center" wrapText="1"/>
    </xf>
    <xf numFmtId="0" fontId="88" fillId="3" borderId="0" xfId="0" applyNumberFormat="1" applyFont="1" applyFill="1" applyAlignment="1" applyProtection="1">
      <alignment wrapText="1"/>
    </xf>
    <xf numFmtId="0" fontId="88" fillId="3" borderId="0" xfId="0" applyFont="1" applyFill="1" applyAlignment="1" applyProtection="1">
      <alignment wrapText="1"/>
    </xf>
    <xf numFmtId="0" fontId="88" fillId="3" borderId="0" xfId="0" applyFont="1" applyFill="1" applyAlignment="1" applyProtection="1">
      <alignment vertical="top" wrapText="1"/>
    </xf>
    <xf numFmtId="0" fontId="4" fillId="3" borderId="35" xfId="0" applyFont="1" applyFill="1" applyBorder="1" applyProtection="1"/>
    <xf numFmtId="0" fontId="4" fillId="3" borderId="51" xfId="0" applyFont="1" applyFill="1" applyBorder="1" applyProtection="1"/>
    <xf numFmtId="0" fontId="12" fillId="3" borderId="1" xfId="13" applyFont="1" applyFill="1" applyBorder="1" applyAlignment="1" applyProtection="1">
      <protection locked="0"/>
    </xf>
    <xf numFmtId="0" fontId="26" fillId="3" borderId="123" xfId="0" applyFont="1" applyFill="1" applyBorder="1" applyAlignment="1" applyProtection="1"/>
    <xf numFmtId="0" fontId="11" fillId="2" borderId="155" xfId="0" applyFont="1" applyFill="1" applyBorder="1" applyAlignment="1" applyProtection="1">
      <alignment vertical="center"/>
    </xf>
    <xf numFmtId="0" fontId="11" fillId="2" borderId="122" xfId="0" applyFont="1" applyFill="1" applyBorder="1" applyAlignment="1" applyProtection="1">
      <alignment vertical="center"/>
    </xf>
    <xf numFmtId="0" fontId="11" fillId="2" borderId="156" xfId="0" applyFont="1" applyFill="1" applyBorder="1" applyAlignment="1" applyProtection="1">
      <alignment vertical="center"/>
    </xf>
    <xf numFmtId="0" fontId="13" fillId="5" borderId="28" xfId="0" applyFont="1" applyFill="1" applyBorder="1" applyAlignment="1" applyProtection="1">
      <alignment horizontal="center" vertical="center"/>
    </xf>
    <xf numFmtId="0" fontId="13" fillId="8" borderId="6" xfId="0" applyFont="1" applyFill="1" applyBorder="1" applyAlignment="1" applyProtection="1">
      <alignment horizontal="center" vertical="center" wrapText="1"/>
    </xf>
    <xf numFmtId="0" fontId="13" fillId="5" borderId="6"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xf>
    <xf numFmtId="0" fontId="15" fillId="3" borderId="27" xfId="0" applyFont="1" applyFill="1" applyBorder="1" applyAlignment="1" applyProtection="1">
      <alignment vertical="center"/>
    </xf>
    <xf numFmtId="0" fontId="13" fillId="8" borderId="1" xfId="0" applyFont="1" applyFill="1" applyBorder="1" applyAlignment="1" applyProtection="1">
      <alignment horizontal="center" vertical="center" wrapText="1"/>
    </xf>
    <xf numFmtId="0" fontId="12" fillId="3" borderId="75" xfId="0" applyFont="1" applyFill="1" applyBorder="1" applyAlignment="1" applyProtection="1">
      <alignment vertical="center" wrapText="1"/>
      <protection locked="0"/>
    </xf>
    <xf numFmtId="0" fontId="12" fillId="4" borderId="94" xfId="0" applyFont="1" applyFill="1" applyBorder="1" applyAlignment="1" applyProtection="1">
      <alignment horizontal="center" vertical="center" wrapText="1"/>
    </xf>
    <xf numFmtId="49" fontId="12" fillId="3" borderId="85" xfId="0" applyNumberFormat="1" applyFont="1" applyFill="1" applyBorder="1" applyAlignment="1" applyProtection="1">
      <alignment horizontal="center" vertical="center" wrapText="1"/>
      <protection locked="0"/>
    </xf>
    <xf numFmtId="43" fontId="12" fillId="3" borderId="85" xfId="0" applyNumberFormat="1" applyFont="1" applyFill="1" applyBorder="1" applyAlignment="1" applyProtection="1">
      <alignment horizontal="center" vertical="center" wrapText="1"/>
      <protection locked="0"/>
    </xf>
    <xf numFmtId="172" fontId="12" fillId="14" borderId="85" xfId="0" applyNumberFormat="1" applyFont="1" applyFill="1" applyBorder="1" applyAlignment="1" applyProtection="1">
      <alignment horizontal="center" vertical="center" wrapText="1"/>
    </xf>
    <xf numFmtId="0" fontId="12" fillId="3" borderId="85" xfId="0" applyNumberFormat="1" applyFont="1" applyFill="1" applyBorder="1" applyAlignment="1" applyProtection="1">
      <alignment horizontal="center" vertical="center" wrapText="1"/>
      <protection locked="0"/>
    </xf>
    <xf numFmtId="0" fontId="13" fillId="3" borderId="155" xfId="0" applyFont="1" applyFill="1" applyBorder="1" applyAlignment="1" applyProtection="1">
      <alignment horizontal="center" vertical="center"/>
      <protection locked="0"/>
    </xf>
    <xf numFmtId="0" fontId="13" fillId="5" borderId="156" xfId="0" applyFont="1" applyFill="1" applyBorder="1" applyAlignment="1" applyProtection="1">
      <alignment horizontal="center" vertical="center" wrapText="1"/>
    </xf>
    <xf numFmtId="167" fontId="13" fillId="0" borderId="157" xfId="0" applyNumberFormat="1" applyFont="1" applyFill="1" applyBorder="1" applyAlignment="1" applyProtection="1">
      <alignment horizontal="right" vertical="center"/>
      <protection locked="0"/>
    </xf>
    <xf numFmtId="167" fontId="13" fillId="0" borderId="4" xfId="0" applyNumberFormat="1" applyFont="1" applyFill="1" applyBorder="1" applyAlignment="1" applyProtection="1">
      <alignment horizontal="right" vertical="center"/>
      <protection locked="0"/>
    </xf>
    <xf numFmtId="167" fontId="12" fillId="0" borderId="4" xfId="0" applyNumberFormat="1" applyFont="1" applyFill="1" applyBorder="1" applyAlignment="1" applyProtection="1">
      <alignment horizontal="right" vertical="center"/>
      <protection locked="0"/>
    </xf>
    <xf numFmtId="167" fontId="13" fillId="0" borderId="149" xfId="0" applyNumberFormat="1" applyFont="1" applyFill="1" applyBorder="1" applyAlignment="1" applyProtection="1">
      <alignment horizontal="right" vertical="center"/>
      <protection locked="0"/>
    </xf>
    <xf numFmtId="167" fontId="13" fillId="0" borderId="156" xfId="0" applyNumberFormat="1" applyFont="1" applyFill="1" applyBorder="1" applyAlignment="1" applyProtection="1">
      <alignment horizontal="right" vertical="center"/>
    </xf>
    <xf numFmtId="0" fontId="89" fillId="3" borderId="0" xfId="0" applyFont="1" applyFill="1" applyAlignment="1" applyProtection="1">
      <alignment wrapText="1"/>
    </xf>
    <xf numFmtId="0" fontId="88" fillId="3" borderId="0" xfId="0" quotePrefix="1" applyNumberFormat="1" applyFont="1" applyFill="1" applyAlignment="1" applyProtection="1">
      <alignment wrapText="1"/>
    </xf>
    <xf numFmtId="0" fontId="88" fillId="3" borderId="0" xfId="0" applyNumberFormat="1" applyFont="1" applyFill="1" applyAlignment="1" applyProtection="1">
      <alignment vertical="top" wrapText="1"/>
    </xf>
    <xf numFmtId="0" fontId="88" fillId="3" borderId="0" xfId="0" applyFont="1" applyFill="1" applyAlignment="1" applyProtection="1">
      <alignment vertical="center" wrapText="1"/>
    </xf>
    <xf numFmtId="0" fontId="90" fillId="3" borderId="0" xfId="0" applyFont="1" applyFill="1" applyAlignment="1" applyProtection="1">
      <alignment wrapText="1"/>
    </xf>
    <xf numFmtId="166" fontId="12" fillId="0" borderId="4" xfId="0" applyNumberFormat="1" applyFont="1" applyFill="1" applyBorder="1" applyAlignment="1" applyProtection="1">
      <alignment horizontal="left" vertical="center" indent="1"/>
      <protection locked="0"/>
    </xf>
    <xf numFmtId="0" fontId="13" fillId="14" borderId="98" xfId="0" applyFont="1" applyFill="1" applyBorder="1" applyAlignment="1" applyProtection="1">
      <alignment horizontal="center" vertical="center"/>
    </xf>
    <xf numFmtId="0" fontId="13" fillId="3" borderId="0" xfId="0" applyFont="1" applyFill="1" applyBorder="1" applyAlignment="1" applyProtection="1">
      <alignment horizontal="right" vertical="center"/>
    </xf>
    <xf numFmtId="167" fontId="12" fillId="3" borderId="0" xfId="0" applyNumberFormat="1" applyFont="1" applyFill="1" applyBorder="1" applyAlignment="1" applyProtection="1">
      <alignment horizontal="right" vertical="center"/>
    </xf>
    <xf numFmtId="167" fontId="13" fillId="3" borderId="0" xfId="0" applyNumberFormat="1" applyFont="1" applyFill="1" applyBorder="1" applyAlignment="1" applyProtection="1">
      <alignment horizontal="right" vertical="center"/>
    </xf>
    <xf numFmtId="0" fontId="1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center"/>
    </xf>
    <xf numFmtId="0" fontId="13" fillId="14" borderId="155" xfId="0" applyFont="1" applyFill="1" applyBorder="1" applyAlignment="1" applyProtection="1">
      <alignment horizontal="center" vertical="center"/>
    </xf>
    <xf numFmtId="0" fontId="13" fillId="3" borderId="122" xfId="0" applyFont="1" applyFill="1" applyBorder="1" applyAlignment="1" applyProtection="1">
      <alignment horizontal="center" vertical="center"/>
      <protection locked="0"/>
    </xf>
    <xf numFmtId="0" fontId="28" fillId="3" borderId="0" xfId="0" applyFont="1" applyFill="1" applyBorder="1" applyProtection="1"/>
    <xf numFmtId="0" fontId="28" fillId="3" borderId="0" xfId="0" applyFont="1" applyFill="1" applyProtection="1"/>
    <xf numFmtId="0" fontId="4" fillId="3" borderId="0" xfId="0" applyFont="1" applyFill="1" applyBorder="1" applyAlignment="1" applyProtection="1">
      <alignment horizontal="left" vertical="center" wrapText="1"/>
      <protection locked="0"/>
    </xf>
    <xf numFmtId="0" fontId="12" fillId="3" borderId="0" xfId="0" applyFont="1" applyFill="1" applyAlignment="1" applyProtection="1">
      <alignment horizontal="left" vertical="center"/>
    </xf>
    <xf numFmtId="0" fontId="28" fillId="3" borderId="0" xfId="0" applyFont="1" applyFill="1" applyBorder="1" applyAlignment="1" applyProtection="1"/>
    <xf numFmtId="0" fontId="2" fillId="3" borderId="41" xfId="0" applyFont="1" applyFill="1" applyBorder="1" applyAlignment="1" applyProtection="1"/>
    <xf numFmtId="0" fontId="12" fillId="0" borderId="62" xfId="0" applyFont="1" applyFill="1" applyBorder="1" applyAlignment="1" applyProtection="1">
      <protection locked="0"/>
    </xf>
    <xf numFmtId="3" fontId="12" fillId="0" borderId="62" xfId="0" applyNumberFormat="1" applyFont="1" applyFill="1" applyBorder="1" applyAlignment="1" applyProtection="1"/>
    <xf numFmtId="3" fontId="12" fillId="0" borderId="79" xfId="0" applyNumberFormat="1" applyFont="1" applyFill="1" applyBorder="1" applyAlignment="1" applyProtection="1"/>
    <xf numFmtId="3" fontId="12" fillId="0" borderId="54" xfId="0" applyNumberFormat="1" applyFont="1" applyFill="1" applyBorder="1" applyAlignment="1" applyProtection="1"/>
    <xf numFmtId="0" fontId="12" fillId="0" borderId="18" xfId="0" applyFont="1" applyBorder="1" applyAlignment="1" applyProtection="1">
      <alignment vertical="top" wrapText="1"/>
    </xf>
    <xf numFmtId="0" fontId="12" fillId="0" borderId="20" xfId="0" applyFont="1" applyBorder="1" applyAlignment="1" applyProtection="1">
      <alignment vertical="top" wrapText="1"/>
    </xf>
    <xf numFmtId="0" fontId="12" fillId="0" borderId="22" xfId="0" applyFont="1" applyBorder="1" applyAlignment="1" applyProtection="1">
      <alignment vertical="top" wrapText="1"/>
    </xf>
    <xf numFmtId="0" fontId="0" fillId="0" borderId="158" xfId="0" applyBorder="1" applyAlignment="1" applyProtection="1">
      <alignment horizontal="center" wrapText="1"/>
      <protection locked="0"/>
    </xf>
    <xf numFmtId="0" fontId="0" fillId="0" borderId="159" xfId="0" applyBorder="1" applyAlignment="1" applyProtection="1">
      <alignment horizontal="left" wrapText="1"/>
      <protection locked="0"/>
    </xf>
    <xf numFmtId="0" fontId="0" fillId="0" borderId="160" xfId="0" applyBorder="1" applyAlignment="1" applyProtection="1">
      <alignment horizontal="center" wrapText="1" shrinkToFit="1"/>
      <protection locked="0"/>
    </xf>
    <xf numFmtId="0" fontId="0" fillId="0" borderId="161" xfId="0" applyBorder="1" applyAlignment="1" applyProtection="1">
      <alignment horizontal="center" wrapText="1"/>
      <protection locked="0"/>
    </xf>
    <xf numFmtId="0" fontId="0" fillId="0" borderId="162" xfId="0" applyBorder="1" applyAlignment="1" applyProtection="1">
      <alignment horizontal="left" wrapText="1"/>
      <protection locked="0"/>
    </xf>
    <xf numFmtId="0" fontId="0" fillId="0" borderId="163" xfId="0" applyBorder="1" applyAlignment="1" applyProtection="1">
      <alignment horizontal="center" wrapText="1" shrinkToFit="1"/>
      <protection locked="0"/>
    </xf>
    <xf numFmtId="0" fontId="0" fillId="0" borderId="164" xfId="0" applyBorder="1" applyAlignment="1" applyProtection="1">
      <alignment horizontal="center" wrapText="1"/>
      <protection locked="0"/>
    </xf>
    <xf numFmtId="0" fontId="0" fillId="0" borderId="165" xfId="0" applyBorder="1" applyAlignment="1" applyProtection="1">
      <alignment horizontal="left" wrapText="1"/>
      <protection locked="0"/>
    </xf>
    <xf numFmtId="0" fontId="0" fillId="0" borderId="166" xfId="0" applyBorder="1" applyAlignment="1" applyProtection="1">
      <alignment horizontal="center" wrapText="1" shrinkToFit="1"/>
      <protection locked="0"/>
    </xf>
    <xf numFmtId="0" fontId="2" fillId="0" borderId="111" xfId="0" applyFont="1" applyBorder="1" applyAlignment="1" applyProtection="1">
      <alignment horizontal="center" wrapText="1"/>
      <protection locked="0"/>
    </xf>
    <xf numFmtId="0" fontId="12" fillId="0" borderId="18" xfId="0" applyFont="1" applyBorder="1" applyAlignment="1">
      <alignment horizontal="left" vertical="top" wrapText="1"/>
    </xf>
    <xf numFmtId="0" fontId="12" fillId="0" borderId="20" xfId="0" applyFont="1" applyBorder="1" applyAlignment="1">
      <alignment horizontal="left" vertical="top" wrapText="1"/>
    </xf>
    <xf numFmtId="0" fontId="18" fillId="0" borderId="22" xfId="0" applyFont="1" applyBorder="1" applyAlignment="1">
      <alignment vertical="top" wrapText="1"/>
    </xf>
    <xf numFmtId="9" fontId="2" fillId="0" borderId="1" xfId="0" quotePrefix="1" applyNumberFormat="1" applyFont="1" applyFill="1" applyBorder="1" applyAlignment="1" applyProtection="1">
      <alignment horizontal="center" vertical="center"/>
      <protection locked="0"/>
    </xf>
    <xf numFmtId="3" fontId="2" fillId="0" borderId="1" xfId="0" quotePrefix="1" applyNumberFormat="1" applyFont="1" applyFill="1" applyBorder="1" applyAlignment="1" applyProtection="1">
      <alignment horizontal="center" vertical="center"/>
      <protection locked="0"/>
    </xf>
    <xf numFmtId="9" fontId="2" fillId="0" borderId="1" xfId="19" applyNumberFormat="1" applyFont="1" applyFill="1" applyBorder="1" applyAlignment="1" applyProtection="1">
      <alignment horizontal="center" vertical="center" wrapText="1"/>
      <protection locked="0"/>
    </xf>
    <xf numFmtId="9" fontId="2" fillId="0" borderId="1" xfId="19"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locked="0"/>
    </xf>
    <xf numFmtId="3" fontId="2" fillId="0" borderId="1" xfId="0" applyNumberFormat="1" applyFont="1" applyFill="1" applyBorder="1" applyAlignment="1" applyProtection="1">
      <alignment horizontal="center" vertical="center"/>
      <protection locked="0"/>
    </xf>
    <xf numFmtId="3" fontId="2" fillId="0" borderId="1" xfId="0" applyNumberFormat="1" applyFont="1" applyFill="1" applyBorder="1" applyAlignment="1" applyProtection="1">
      <alignment horizontal="center" vertical="center" wrapText="1"/>
      <protection locked="0"/>
    </xf>
    <xf numFmtId="4" fontId="12" fillId="0" borderId="1" xfId="0" applyNumberFormat="1" applyFont="1" applyFill="1" applyBorder="1" applyAlignment="1" applyProtection="1">
      <alignment horizontal="right" vertical="center"/>
      <protection locked="0"/>
    </xf>
    <xf numFmtId="4" fontId="12" fillId="0" borderId="85" xfId="0" applyNumberFormat="1" applyFont="1" applyFill="1" applyBorder="1" applyAlignment="1" applyProtection="1">
      <alignment horizontal="right" vertical="center"/>
      <protection locked="0"/>
    </xf>
    <xf numFmtId="4" fontId="12" fillId="3" borderId="75" xfId="0" applyNumberFormat="1" applyFont="1" applyFill="1" applyBorder="1" applyAlignment="1" applyProtection="1">
      <alignment horizontal="right" vertical="center"/>
      <protection locked="0"/>
    </xf>
    <xf numFmtId="4" fontId="12" fillId="3" borderId="85" xfId="0" applyNumberFormat="1" applyFont="1" applyFill="1" applyBorder="1" applyAlignment="1" applyProtection="1">
      <alignment horizontal="right" vertical="center"/>
      <protection locked="0"/>
    </xf>
    <xf numFmtId="3" fontId="29" fillId="0" borderId="3" xfId="12" applyNumberFormat="1" applyFont="1" applyBorder="1" applyAlignment="1" applyProtection="1">
      <alignment horizontal="right" vertical="top" wrapText="1"/>
      <protection locked="0"/>
    </xf>
    <xf numFmtId="3" fontId="29" fillId="0" borderId="1" xfId="12" applyNumberFormat="1" applyFont="1" applyBorder="1" applyAlignment="1" applyProtection="1">
      <alignment horizontal="right" vertical="top" wrapText="1"/>
      <protection locked="0"/>
    </xf>
    <xf numFmtId="3" fontId="29" fillId="0" borderId="28" xfId="18" applyNumberFormat="1" applyFont="1" applyBorder="1" applyAlignment="1" applyProtection="1">
      <alignment horizontal="right" vertical="top" wrapText="1"/>
      <protection locked="0"/>
    </xf>
    <xf numFmtId="0" fontId="17" fillId="0" borderId="11" xfId="0" applyFont="1" applyFill="1" applyBorder="1" applyAlignment="1" applyProtection="1">
      <alignment horizontal="left"/>
    </xf>
    <xf numFmtId="0" fontId="17" fillId="0" borderId="0" xfId="0" applyFont="1" applyFill="1" applyBorder="1" applyAlignment="1" applyProtection="1">
      <alignment horizontal="left"/>
    </xf>
    <xf numFmtId="178" fontId="12" fillId="0" borderId="69" xfId="0" applyNumberFormat="1" applyFont="1" applyFill="1" applyBorder="1" applyAlignment="1" applyProtection="1">
      <protection locked="0"/>
    </xf>
    <xf numFmtId="178" fontId="12" fillId="0" borderId="69" xfId="0" applyNumberFormat="1" applyFont="1" applyFill="1" applyBorder="1" applyAlignment="1" applyProtection="1"/>
    <xf numFmtId="0" fontId="12" fillId="3" borderId="1" xfId="13" applyFont="1" applyFill="1" applyBorder="1" applyAlignment="1" applyProtection="1">
      <alignment horizontal="left"/>
      <protection locked="0"/>
    </xf>
    <xf numFmtId="3" fontId="15" fillId="4" borderId="13" xfId="0" applyNumberFormat="1" applyFont="1" applyFill="1" applyBorder="1" applyAlignment="1" applyProtection="1">
      <alignment horizontal="center" vertical="center"/>
      <protection locked="0"/>
    </xf>
    <xf numFmtId="0" fontId="12" fillId="22" borderId="1" xfId="0" applyFont="1" applyFill="1" applyBorder="1" applyAlignment="1" applyProtection="1">
      <alignment horizontal="center" vertical="center" wrapText="1"/>
    </xf>
    <xf numFmtId="169" fontId="12" fillId="23" borderId="1" xfId="0" applyNumberFormat="1" applyFont="1" applyFill="1" applyBorder="1" applyAlignment="1" applyProtection="1">
      <alignment horizontal="right" vertical="center"/>
      <protection locked="0"/>
    </xf>
    <xf numFmtId="43" fontId="12" fillId="23" borderId="1" xfId="0" applyNumberFormat="1" applyFont="1" applyFill="1" applyBorder="1" applyAlignment="1" applyProtection="1">
      <alignment horizontal="left" vertical="center"/>
      <protection locked="0"/>
    </xf>
    <xf numFmtId="43" fontId="12" fillId="24" borderId="1" xfId="0" applyNumberFormat="1" applyFont="1" applyFill="1" applyBorder="1" applyAlignment="1" applyProtection="1">
      <alignment horizontal="left" vertical="center"/>
    </xf>
    <xf numFmtId="3" fontId="12" fillId="3" borderId="120" xfId="0" applyNumberFormat="1" applyFont="1" applyFill="1" applyBorder="1" applyAlignment="1" applyProtection="1">
      <alignment horizontal="center" vertical="center" wrapText="1"/>
      <protection locked="0"/>
    </xf>
    <xf numFmtId="0" fontId="98" fillId="0" borderId="0" xfId="13" applyFont="1" applyFill="1"/>
    <xf numFmtId="0" fontId="99" fillId="0" borderId="0" xfId="13" applyFont="1" applyFill="1" applyAlignment="1">
      <alignment vertical="center"/>
    </xf>
    <xf numFmtId="0" fontId="2" fillId="0" borderId="0" xfId="13" applyFill="1"/>
    <xf numFmtId="43" fontId="100" fillId="25" borderId="1" xfId="14" applyNumberFormat="1" applyFont="1" applyFill="1" applyBorder="1" applyAlignment="1">
      <alignment horizontal="center" vertical="center" wrapText="1"/>
    </xf>
    <xf numFmtId="0" fontId="99" fillId="25" borderId="0" xfId="13" applyFont="1" applyFill="1" applyAlignment="1">
      <alignment vertical="center"/>
    </xf>
    <xf numFmtId="164" fontId="100" fillId="25" borderId="1" xfId="5" applyFont="1" applyFill="1" applyBorder="1" applyAlignment="1">
      <alignment horizontal="center" vertical="center" wrapText="1"/>
    </xf>
    <xf numFmtId="0" fontId="98" fillId="25" borderId="1" xfId="13" applyFont="1" applyFill="1" applyBorder="1"/>
    <xf numFmtId="0" fontId="98" fillId="25" borderId="6" xfId="13" applyFont="1" applyFill="1" applyBorder="1"/>
    <xf numFmtId="0" fontId="99" fillId="0" borderId="1" xfId="13" applyFont="1" applyFill="1" applyBorder="1" applyAlignment="1">
      <alignment horizontal="center" vertical="center"/>
    </xf>
    <xf numFmtId="0" fontId="99" fillId="0" borderId="1" xfId="15" applyFont="1" applyFill="1" applyBorder="1" applyAlignment="1">
      <alignment horizontal="left" vertical="center" wrapText="1"/>
    </xf>
    <xf numFmtId="43" fontId="99" fillId="0" borderId="1" xfId="13" applyNumberFormat="1" applyFont="1" applyFill="1" applyBorder="1" applyAlignment="1">
      <alignment horizontal="center" vertical="center"/>
    </xf>
    <xf numFmtId="43" fontId="99" fillId="0" borderId="1" xfId="14" applyNumberFormat="1" applyFont="1" applyFill="1" applyBorder="1" applyAlignment="1">
      <alignment horizontal="center" vertical="center" wrapText="1"/>
    </xf>
    <xf numFmtId="164" fontId="99" fillId="0" borderId="1" xfId="5" applyFont="1" applyFill="1" applyBorder="1" applyAlignment="1">
      <alignment horizontal="center" vertical="center" wrapText="1"/>
    </xf>
    <xf numFmtId="164" fontId="99" fillId="0" borderId="1" xfId="5" applyFont="1" applyFill="1" applyBorder="1" applyAlignment="1">
      <alignment horizontal="center" vertical="center"/>
    </xf>
    <xf numFmtId="164" fontId="99" fillId="0" borderId="6" xfId="5" applyFont="1" applyFill="1" applyBorder="1" applyAlignment="1">
      <alignment horizontal="center" vertical="center" wrapText="1"/>
    </xf>
    <xf numFmtId="43" fontId="99" fillId="0" borderId="93" xfId="13" applyNumberFormat="1" applyFont="1" applyFill="1" applyBorder="1" applyAlignment="1">
      <alignment vertical="center"/>
    </xf>
    <xf numFmtId="43" fontId="99" fillId="0" borderId="1" xfId="13" applyNumberFormat="1" applyFont="1" applyFill="1" applyBorder="1" applyAlignment="1">
      <alignment vertical="center"/>
    </xf>
    <xf numFmtId="43" fontId="99" fillId="0" borderId="13" xfId="13" applyNumberFormat="1" applyFont="1" applyFill="1" applyBorder="1" applyAlignment="1">
      <alignment vertical="center"/>
    </xf>
    <xf numFmtId="9" fontId="99" fillId="0" borderId="1" xfId="20" applyFont="1" applyFill="1" applyBorder="1" applyAlignment="1">
      <alignment horizontal="center" vertical="center"/>
    </xf>
    <xf numFmtId="0" fontId="99" fillId="0" borderId="1" xfId="13" applyFont="1" applyFill="1" applyBorder="1" applyAlignment="1">
      <alignment vertical="center" wrapText="1"/>
    </xf>
    <xf numFmtId="0" fontId="2" fillId="0" borderId="0" xfId="13" applyFont="1" applyFill="1"/>
    <xf numFmtId="164" fontId="102" fillId="0" borderId="1" xfId="7" applyFont="1" applyFill="1" applyBorder="1" applyAlignment="1">
      <alignment vertical="center"/>
    </xf>
    <xf numFmtId="43" fontId="98" fillId="0" borderId="1" xfId="13" applyNumberFormat="1" applyFont="1" applyFill="1" applyBorder="1" applyAlignment="1">
      <alignment horizontal="center" vertical="center"/>
    </xf>
    <xf numFmtId="0" fontId="99" fillId="0" borderId="1" xfId="13" applyFont="1" applyFill="1" applyBorder="1" applyAlignment="1">
      <alignment vertical="center"/>
    </xf>
    <xf numFmtId="164" fontId="102" fillId="0" borderId="1" xfId="7" applyFont="1" applyFill="1" applyBorder="1" applyAlignment="1">
      <alignment vertical="center" wrapText="1"/>
    </xf>
    <xf numFmtId="43" fontId="98" fillId="0" borderId="1" xfId="13" applyNumberFormat="1" applyFont="1" applyFill="1" applyBorder="1" applyAlignment="1">
      <alignment horizontal="center"/>
    </xf>
    <xf numFmtId="43" fontId="100" fillId="0" borderId="1" xfId="14" applyNumberFormat="1" applyFont="1" applyFill="1" applyBorder="1" applyAlignment="1">
      <alignment horizontal="center" vertical="center" wrapText="1"/>
    </xf>
    <xf numFmtId="164" fontId="100" fillId="0" borderId="1" xfId="5" applyFont="1" applyFill="1" applyBorder="1" applyAlignment="1">
      <alignment horizontal="center" vertical="center" wrapText="1"/>
    </xf>
    <xf numFmtId="0" fontId="98" fillId="0" borderId="1" xfId="13" applyFont="1" applyFill="1" applyBorder="1"/>
    <xf numFmtId="0" fontId="98" fillId="0" borderId="6" xfId="13" applyFont="1" applyFill="1" applyBorder="1"/>
    <xf numFmtId="0" fontId="99" fillId="0" borderId="0" xfId="13" applyFont="1" applyFill="1"/>
    <xf numFmtId="164" fontId="103" fillId="0" borderId="1" xfId="7" applyFont="1" applyFill="1" applyBorder="1" applyAlignment="1">
      <alignment vertical="center"/>
    </xf>
    <xf numFmtId="0" fontId="99" fillId="0" borderId="1" xfId="14" applyFont="1" applyFill="1" applyBorder="1" applyAlignment="1">
      <alignment horizontal="left" vertical="center" wrapText="1"/>
    </xf>
    <xf numFmtId="0" fontId="99" fillId="0" borderId="1" xfId="13" applyFont="1" applyFill="1" applyBorder="1"/>
    <xf numFmtId="164" fontId="98" fillId="0" borderId="0" xfId="5" applyFont="1" applyFill="1"/>
    <xf numFmtId="0" fontId="99" fillId="0" borderId="28" xfId="13" applyFont="1" applyFill="1" applyBorder="1" applyAlignment="1">
      <alignment horizontal="center" vertical="center"/>
    </xf>
    <xf numFmtId="0" fontId="99" fillId="0" borderId="28" xfId="15" applyFont="1" applyFill="1" applyBorder="1" applyAlignment="1">
      <alignment horizontal="left" vertical="center" wrapText="1"/>
    </xf>
    <xf numFmtId="43" fontId="99" fillId="0" borderId="28" xfId="14" applyNumberFormat="1" applyFont="1" applyFill="1" applyBorder="1" applyAlignment="1">
      <alignment horizontal="center" vertical="center" wrapText="1"/>
    </xf>
    <xf numFmtId="164" fontId="99" fillId="0" borderId="28" xfId="5" applyFont="1" applyFill="1" applyBorder="1" applyAlignment="1">
      <alignment horizontal="center" vertical="center" wrapText="1"/>
    </xf>
    <xf numFmtId="164" fontId="99" fillId="0" borderId="28" xfId="5" applyFont="1" applyFill="1" applyBorder="1" applyAlignment="1">
      <alignment horizontal="center" vertical="center"/>
    </xf>
    <xf numFmtId="164" fontId="99" fillId="0" borderId="13" xfId="5" applyFont="1" applyFill="1" applyBorder="1" applyAlignment="1">
      <alignment horizontal="center" vertical="center" wrapText="1"/>
    </xf>
    <xf numFmtId="0" fontId="99" fillId="0" borderId="1" xfId="13" applyFont="1" applyFill="1" applyBorder="1" applyAlignment="1">
      <alignment horizontal="center"/>
    </xf>
    <xf numFmtId="0" fontId="98" fillId="0" borderId="1" xfId="13" applyFont="1" applyFill="1" applyBorder="1" applyAlignment="1"/>
    <xf numFmtId="164" fontId="98" fillId="0" borderId="1" xfId="5" applyFont="1" applyFill="1" applyBorder="1" applyAlignment="1"/>
    <xf numFmtId="164" fontId="98" fillId="0" borderId="1" xfId="5" applyFont="1" applyFill="1" applyBorder="1" applyAlignment="1">
      <alignment vertical="center" wrapText="1"/>
    </xf>
    <xf numFmtId="0" fontId="99" fillId="0" borderId="75" xfId="13" applyFont="1" applyFill="1" applyBorder="1" applyAlignment="1">
      <alignment horizontal="center" vertical="center"/>
    </xf>
    <xf numFmtId="0" fontId="99" fillId="0" borderId="75" xfId="15" applyFont="1" applyFill="1" applyBorder="1" applyAlignment="1">
      <alignment horizontal="left" vertical="center"/>
    </xf>
    <xf numFmtId="43" fontId="99" fillId="0" borderId="75" xfId="14" applyNumberFormat="1" applyFont="1" applyFill="1" applyBorder="1" applyAlignment="1">
      <alignment horizontal="center" vertical="center" wrapText="1"/>
    </xf>
    <xf numFmtId="164" fontId="99" fillId="0" borderId="75" xfId="5" applyFont="1" applyFill="1" applyBorder="1" applyAlignment="1">
      <alignment horizontal="center" vertical="center" wrapText="1"/>
    </xf>
    <xf numFmtId="0" fontId="99" fillId="0" borderId="1" xfId="15" applyFont="1" applyFill="1" applyBorder="1" applyAlignment="1">
      <alignment horizontal="left" vertical="center"/>
    </xf>
    <xf numFmtId="0" fontId="99" fillId="0" borderId="13" xfId="13" applyFont="1" applyFill="1" applyBorder="1" applyAlignment="1">
      <alignment horizontal="center" vertical="center"/>
    </xf>
    <xf numFmtId="0" fontId="99" fillId="0" borderId="6" xfId="15" applyFont="1" applyFill="1" applyBorder="1" applyAlignment="1">
      <alignment horizontal="left" vertical="center" wrapText="1"/>
    </xf>
    <xf numFmtId="0" fontId="99" fillId="0" borderId="0" xfId="13" applyFont="1" applyFill="1" applyAlignment="1">
      <alignment horizontal="center"/>
    </xf>
    <xf numFmtId="0" fontId="99" fillId="26" borderId="1" xfId="13" applyFont="1" applyFill="1" applyBorder="1" applyAlignment="1">
      <alignment horizontal="center" vertical="center"/>
    </xf>
    <xf numFmtId="0" fontId="99" fillId="26" borderId="1" xfId="15" applyFont="1" applyFill="1" applyBorder="1" applyAlignment="1">
      <alignment horizontal="left" vertical="center" wrapText="1"/>
    </xf>
    <xf numFmtId="164" fontId="99" fillId="0" borderId="13" xfId="5" applyFont="1" applyFill="1" applyBorder="1" applyAlignment="1">
      <alignment horizontal="center" vertical="center"/>
    </xf>
    <xf numFmtId="43" fontId="104" fillId="0" borderId="1" xfId="14" applyNumberFormat="1" applyFont="1" applyFill="1" applyBorder="1" applyAlignment="1">
      <alignment horizontal="center" vertical="center" wrapText="1"/>
    </xf>
    <xf numFmtId="43" fontId="100" fillId="0" borderId="1" xfId="4" applyFont="1" applyFill="1" applyBorder="1" applyAlignment="1">
      <alignment horizontal="center" vertical="center" wrapText="1"/>
    </xf>
    <xf numFmtId="0" fontId="101" fillId="0" borderId="98" xfId="13" applyFont="1" applyFill="1" applyBorder="1" applyAlignment="1">
      <alignment vertical="center"/>
    </xf>
    <xf numFmtId="0" fontId="101" fillId="0" borderId="49" xfId="13" applyFont="1" applyFill="1" applyBorder="1" applyAlignment="1">
      <alignment vertical="center"/>
    </xf>
    <xf numFmtId="0" fontId="101" fillId="0" borderId="49" xfId="13" applyFont="1" applyFill="1" applyBorder="1" applyAlignment="1">
      <alignment horizontal="center" vertical="center"/>
    </xf>
    <xf numFmtId="43" fontId="101" fillId="0" borderId="120" xfId="13" applyNumberFormat="1" applyFont="1" applyFill="1" applyBorder="1" applyAlignment="1">
      <alignment vertical="center"/>
    </xf>
    <xf numFmtId="0" fontId="99" fillId="0" borderId="0" xfId="13" applyFont="1" applyFill="1" applyBorder="1" applyAlignment="1">
      <alignment vertical="center"/>
    </xf>
    <xf numFmtId="0" fontId="101" fillId="0" borderId="0" xfId="13" applyFont="1" applyFill="1" applyBorder="1"/>
    <xf numFmtId="43" fontId="101" fillId="0" borderId="1" xfId="13" applyNumberFormat="1" applyFont="1" applyFill="1" applyBorder="1" applyAlignment="1">
      <alignment vertical="center"/>
    </xf>
    <xf numFmtId="43" fontId="98" fillId="0" borderId="1" xfId="13" applyNumberFormat="1" applyFont="1" applyFill="1" applyBorder="1" applyAlignment="1">
      <alignment vertical="center"/>
    </xf>
    <xf numFmtId="9" fontId="98" fillId="0" borderId="0" xfId="20" applyFont="1" applyFill="1"/>
    <xf numFmtId="0" fontId="98" fillId="0" borderId="0" xfId="13" applyFont="1" applyFill="1" applyBorder="1"/>
    <xf numFmtId="43" fontId="98" fillId="0" borderId="0" xfId="13" applyNumberFormat="1" applyFont="1" applyFill="1" applyBorder="1"/>
    <xf numFmtId="164" fontId="99" fillId="0" borderId="0" xfId="5" applyFont="1" applyFill="1" applyBorder="1" applyAlignment="1">
      <alignment horizontal="center" vertical="center"/>
    </xf>
    <xf numFmtId="43" fontId="99" fillId="0" borderId="0" xfId="13" applyNumberFormat="1" applyFont="1" applyFill="1" applyAlignment="1">
      <alignment horizontal="center" vertical="center"/>
    </xf>
    <xf numFmtId="164" fontId="98" fillId="0" borderId="0" xfId="5" applyFont="1" applyFill="1" applyBorder="1" applyAlignment="1">
      <alignment vertical="center"/>
    </xf>
    <xf numFmtId="0" fontId="99" fillId="0" borderId="0" xfId="13" applyFont="1" applyFill="1" applyBorder="1" applyAlignment="1">
      <alignment horizontal="center" vertical="center"/>
    </xf>
    <xf numFmtId="164" fontId="98" fillId="0" borderId="1" xfId="5" applyFont="1" applyFill="1" applyBorder="1" applyAlignment="1">
      <alignment horizontal="center"/>
    </xf>
    <xf numFmtId="43" fontId="98" fillId="0" borderId="0" xfId="13" applyNumberFormat="1" applyFont="1" applyFill="1" applyBorder="1" applyAlignment="1">
      <alignment horizontal="left"/>
    </xf>
    <xf numFmtId="0" fontId="98" fillId="0" borderId="0" xfId="13" applyFont="1" applyFill="1" applyBorder="1" applyAlignment="1">
      <alignment horizontal="left"/>
    </xf>
    <xf numFmtId="164" fontId="98" fillId="0" borderId="1" xfId="5" applyFont="1" applyFill="1" applyBorder="1"/>
    <xf numFmtId="0" fontId="98" fillId="0" borderId="93" xfId="13" applyFont="1" applyFill="1" applyBorder="1"/>
    <xf numFmtId="164" fontId="98" fillId="0" borderId="0" xfId="13" applyNumberFormat="1" applyFont="1" applyFill="1"/>
    <xf numFmtId="0" fontId="101" fillId="0" borderId="93" xfId="13" applyFont="1" applyFill="1" applyBorder="1"/>
    <xf numFmtId="43" fontId="101" fillId="0" borderId="1" xfId="13" applyNumberFormat="1" applyFont="1" applyFill="1" applyBorder="1" applyAlignment="1">
      <alignment horizontal="center"/>
    </xf>
    <xf numFmtId="43" fontId="101" fillId="0" borderId="1" xfId="13" applyNumberFormat="1" applyFont="1" applyFill="1" applyBorder="1"/>
    <xf numFmtId="43" fontId="99" fillId="0" borderId="0" xfId="13" applyNumberFormat="1" applyFont="1" applyFill="1"/>
    <xf numFmtId="0" fontId="101" fillId="25" borderId="6" xfId="13" applyFont="1" applyFill="1" applyBorder="1" applyAlignment="1">
      <alignment horizontal="center" vertical="center"/>
    </xf>
    <xf numFmtId="9" fontId="99" fillId="0" borderId="1" xfId="21" applyFont="1" applyFill="1" applyBorder="1" applyAlignment="1">
      <alignment horizontal="center" vertical="center"/>
    </xf>
    <xf numFmtId="0" fontId="2" fillId="0" borderId="0" xfId="17"/>
    <xf numFmtId="0" fontId="23" fillId="0" borderId="0" xfId="17" applyFont="1"/>
    <xf numFmtId="0" fontId="2" fillId="0" borderId="0" xfId="17" applyBorder="1" applyAlignment="1">
      <alignment horizontal="center"/>
    </xf>
    <xf numFmtId="0" fontId="23" fillId="0" borderId="17" xfId="17" applyFont="1" applyBorder="1" applyAlignment="1">
      <alignment horizontal="center"/>
    </xf>
    <xf numFmtId="0" fontId="23" fillId="0" borderId="0" xfId="17" applyFont="1" applyBorder="1" applyAlignment="1">
      <alignment horizontal="center"/>
    </xf>
    <xf numFmtId="43" fontId="29" fillId="0" borderId="17" xfId="10" applyFont="1" applyBorder="1"/>
    <xf numFmtId="43" fontId="29" fillId="0" borderId="0" xfId="10" applyFont="1" applyBorder="1"/>
    <xf numFmtId="43" fontId="120" fillId="0" borderId="167" xfId="9" applyNumberFormat="1" applyFont="1" applyFill="1" applyBorder="1">
      <alignment vertical="center"/>
    </xf>
    <xf numFmtId="43" fontId="2" fillId="0" borderId="0" xfId="17" applyNumberFormat="1"/>
    <xf numFmtId="43" fontId="120" fillId="0" borderId="168" xfId="9" applyNumberFormat="1" applyFont="1" applyFill="1" applyBorder="1">
      <alignment vertical="center"/>
    </xf>
    <xf numFmtId="43" fontId="109" fillId="0" borderId="17" xfId="10" applyFont="1" applyBorder="1"/>
    <xf numFmtId="43" fontId="109" fillId="0" borderId="0" xfId="10" applyFont="1" applyBorder="1"/>
    <xf numFmtId="43" fontId="2" fillId="0" borderId="0" xfId="10"/>
    <xf numFmtId="4" fontId="2" fillId="0" borderId="0" xfId="17" applyNumberFormat="1"/>
    <xf numFmtId="0" fontId="29" fillId="0" borderId="17" xfId="17" applyFont="1" applyBorder="1"/>
    <xf numFmtId="0" fontId="29" fillId="0" borderId="0" xfId="17" applyFont="1" applyBorder="1"/>
    <xf numFmtId="43" fontId="29" fillId="0" borderId="0" xfId="17" applyNumberFormat="1" applyFont="1" applyBorder="1"/>
    <xf numFmtId="43" fontId="109" fillId="0" borderId="17" xfId="17" applyNumberFormat="1" applyFont="1" applyBorder="1"/>
    <xf numFmtId="43" fontId="109" fillId="0" borderId="0" xfId="17" applyNumberFormat="1" applyFont="1" applyBorder="1"/>
    <xf numFmtId="0" fontId="23" fillId="25" borderId="169" xfId="17" applyFont="1" applyFill="1" applyBorder="1" applyAlignment="1">
      <alignment horizontal="center"/>
    </xf>
    <xf numFmtId="0" fontId="23" fillId="25" borderId="170" xfId="17" applyFont="1" applyFill="1" applyBorder="1" applyAlignment="1">
      <alignment horizontal="center"/>
    </xf>
    <xf numFmtId="0" fontId="23" fillId="25" borderId="171" xfId="17" applyFont="1" applyFill="1" applyBorder="1" applyAlignment="1">
      <alignment horizontal="center"/>
    </xf>
    <xf numFmtId="0" fontId="100" fillId="25" borderId="28" xfId="13" applyFont="1" applyFill="1" applyBorder="1" applyAlignment="1">
      <alignment horizontal="center" vertical="center"/>
    </xf>
    <xf numFmtId="4" fontId="15" fillId="4" borderId="3" xfId="0" applyNumberFormat="1" applyFont="1" applyFill="1" applyBorder="1" applyAlignment="1" applyProtection="1">
      <alignment horizontal="center" vertical="center"/>
    </xf>
    <xf numFmtId="4" fontId="15" fillId="3" borderId="28" xfId="0" applyNumberFormat="1" applyFont="1" applyFill="1" applyBorder="1" applyAlignment="1" applyProtection="1">
      <alignment horizontal="center" vertical="center"/>
      <protection locked="0"/>
    </xf>
    <xf numFmtId="4" fontId="15" fillId="4" borderId="28" xfId="0" applyNumberFormat="1" applyFont="1" applyFill="1" applyBorder="1" applyAlignment="1" applyProtection="1">
      <alignment horizontal="center" vertical="center"/>
    </xf>
    <xf numFmtId="4" fontId="15" fillId="3" borderId="85" xfId="0" applyNumberFormat="1" applyFont="1" applyFill="1" applyBorder="1" applyAlignment="1" applyProtection="1">
      <alignment horizontal="center" vertical="center"/>
      <protection locked="0"/>
    </xf>
    <xf numFmtId="4" fontId="15" fillId="4" borderId="85" xfId="0" applyNumberFormat="1" applyFont="1" applyFill="1" applyBorder="1" applyAlignment="1" applyProtection="1">
      <alignment horizontal="center" vertical="center"/>
    </xf>
    <xf numFmtId="179" fontId="15" fillId="4" borderId="1" xfId="0" applyNumberFormat="1" applyFont="1" applyFill="1" applyBorder="1" applyAlignment="1" applyProtection="1">
      <alignment horizontal="center" vertical="center"/>
    </xf>
    <xf numFmtId="4" fontId="15" fillId="4" borderId="1" xfId="0" applyNumberFormat="1" applyFont="1" applyFill="1" applyBorder="1" applyAlignment="1" applyProtection="1">
      <alignment horizontal="center" vertical="center"/>
    </xf>
    <xf numFmtId="4" fontId="13" fillId="0" borderId="151" xfId="0" applyNumberFormat="1" applyFont="1" applyFill="1" applyBorder="1" applyAlignment="1" applyProtection="1">
      <alignment horizontal="center"/>
      <protection locked="0"/>
    </xf>
    <xf numFmtId="4" fontId="12" fillId="4" borderId="54" xfId="0" applyNumberFormat="1" applyFont="1" applyFill="1" applyBorder="1" applyAlignment="1" applyProtection="1">
      <alignment horizontal="right"/>
    </xf>
    <xf numFmtId="4" fontId="13" fillId="4" borderId="54" xfId="0" applyNumberFormat="1" applyFont="1" applyFill="1" applyBorder="1" applyAlignment="1" applyProtection="1">
      <alignment horizontal="right"/>
    </xf>
    <xf numFmtId="4" fontId="12" fillId="0" borderId="0" xfId="0" applyNumberFormat="1" applyFont="1" applyFill="1" applyBorder="1" applyProtection="1"/>
    <xf numFmtId="4" fontId="13" fillId="4" borderId="78" xfId="0" applyNumberFormat="1" applyFont="1" applyFill="1" applyBorder="1" applyAlignment="1" applyProtection="1">
      <alignment horizontal="right"/>
    </xf>
    <xf numFmtId="4" fontId="12" fillId="0" borderId="1" xfId="0" applyNumberFormat="1" applyFont="1" applyFill="1" applyBorder="1" applyAlignment="1" applyProtection="1">
      <alignment horizontal="center" vertical="center"/>
      <protection locked="0"/>
    </xf>
    <xf numFmtId="164" fontId="99" fillId="0" borderId="25" xfId="5" applyFont="1" applyFill="1" applyBorder="1" applyAlignment="1">
      <alignment horizontal="center" vertical="center" wrapText="1"/>
    </xf>
    <xf numFmtId="9" fontId="99" fillId="0" borderId="28" xfId="21" applyFont="1" applyFill="1" applyBorder="1" applyAlignment="1">
      <alignment horizontal="center" vertical="center"/>
    </xf>
    <xf numFmtId="0" fontId="101" fillId="27" borderId="98" xfId="13" applyFont="1" applyFill="1" applyBorder="1" applyAlignment="1">
      <alignment vertical="center"/>
    </xf>
    <xf numFmtId="0" fontId="101" fillId="27" borderId="103" xfId="13" applyFont="1" applyFill="1" applyBorder="1" applyAlignment="1">
      <alignment vertical="center"/>
    </xf>
    <xf numFmtId="0" fontId="101" fillId="27" borderId="103" xfId="13" applyFont="1" applyFill="1" applyBorder="1" applyAlignment="1">
      <alignment horizontal="center" vertical="center"/>
    </xf>
    <xf numFmtId="43" fontId="101" fillId="27" borderId="122" xfId="13" applyNumberFormat="1" applyFont="1" applyFill="1" applyBorder="1" applyAlignment="1">
      <alignment vertical="center"/>
    </xf>
    <xf numFmtId="9" fontId="99" fillId="27" borderId="156" xfId="20" applyFont="1" applyFill="1" applyBorder="1" applyAlignment="1">
      <alignment horizontal="center" vertical="center"/>
    </xf>
    <xf numFmtId="0" fontId="101" fillId="27" borderId="122" xfId="13" applyFont="1" applyFill="1" applyBorder="1" applyAlignment="1">
      <alignment horizontal="center"/>
    </xf>
    <xf numFmtId="0" fontId="101" fillId="27" borderId="172" xfId="13" applyFont="1" applyFill="1" applyBorder="1" applyAlignment="1">
      <alignment horizontal="center"/>
    </xf>
    <xf numFmtId="0" fontId="101" fillId="27" borderId="69" xfId="13" applyFont="1" applyFill="1" applyBorder="1" applyAlignment="1">
      <alignment horizontal="center"/>
    </xf>
    <xf numFmtId="164" fontId="101" fillId="27" borderId="4" xfId="5" applyFont="1" applyFill="1" applyBorder="1"/>
    <xf numFmtId="0" fontId="101" fillId="28" borderId="93" xfId="13" applyFont="1" applyFill="1" applyBorder="1"/>
    <xf numFmtId="43" fontId="98" fillId="28" borderId="1" xfId="13" applyNumberFormat="1" applyFont="1" applyFill="1" applyBorder="1" applyAlignment="1">
      <alignment horizontal="center"/>
    </xf>
    <xf numFmtId="164" fontId="98" fillId="28" borderId="1" xfId="5" applyFont="1" applyFill="1" applyBorder="1"/>
    <xf numFmtId="0" fontId="101" fillId="28" borderId="173" xfId="13" applyFont="1" applyFill="1" applyBorder="1" applyAlignment="1">
      <alignment horizontal="center" vertical="center"/>
    </xf>
    <xf numFmtId="0" fontId="101" fillId="28" borderId="120" xfId="13" applyFont="1" applyFill="1" applyBorder="1" applyAlignment="1">
      <alignment horizontal="center" vertical="center"/>
    </xf>
    <xf numFmtId="164" fontId="101" fillId="28" borderId="120" xfId="5" applyFont="1" applyFill="1" applyBorder="1" applyAlignment="1">
      <alignment horizontal="center" vertical="center"/>
    </xf>
    <xf numFmtId="164" fontId="101" fillId="28" borderId="15" xfId="5" applyFont="1" applyFill="1" applyBorder="1" applyAlignment="1">
      <alignment horizontal="center" vertical="center"/>
    </xf>
    <xf numFmtId="43" fontId="101" fillId="28" borderId="1" xfId="13" applyNumberFormat="1" applyFont="1" applyFill="1" applyBorder="1" applyAlignment="1">
      <alignment horizontal="center" vertical="center"/>
    </xf>
    <xf numFmtId="164" fontId="101" fillId="28" borderId="1" xfId="5" applyFont="1" applyFill="1" applyBorder="1" applyAlignment="1">
      <alignment horizontal="center" vertical="center"/>
    </xf>
    <xf numFmtId="0" fontId="101" fillId="0" borderId="0" xfId="13" applyFont="1" applyFill="1" applyBorder="1" applyAlignment="1">
      <alignment vertical="center"/>
    </xf>
    <xf numFmtId="43" fontId="101" fillId="0" borderId="0" xfId="13" applyNumberFormat="1" applyFont="1" applyFill="1" applyBorder="1" applyAlignment="1">
      <alignment vertical="center"/>
    </xf>
    <xf numFmtId="9" fontId="99" fillId="0" borderId="0" xfId="20" applyFont="1" applyFill="1" applyBorder="1" applyAlignment="1">
      <alignment horizontal="center" vertical="center"/>
    </xf>
    <xf numFmtId="0" fontId="101" fillId="0" borderId="10" xfId="13" applyFont="1" applyFill="1" applyBorder="1" applyAlignment="1">
      <alignment vertical="center"/>
    </xf>
    <xf numFmtId="0" fontId="101" fillId="0" borderId="10" xfId="13" applyFont="1" applyFill="1" applyBorder="1" applyAlignment="1">
      <alignment horizontal="center" vertical="center"/>
    </xf>
    <xf numFmtId="43" fontId="101" fillId="0" borderId="10" xfId="13" applyNumberFormat="1" applyFont="1" applyFill="1" applyBorder="1" applyAlignment="1">
      <alignment vertical="center"/>
    </xf>
    <xf numFmtId="0" fontId="98" fillId="0" borderId="93" xfId="13" applyFont="1" applyFill="1" applyBorder="1" applyAlignment="1">
      <alignment horizontal="left"/>
    </xf>
    <xf numFmtId="0" fontId="98" fillId="29" borderId="94" xfId="13" applyFont="1" applyFill="1" applyBorder="1"/>
    <xf numFmtId="9" fontId="98" fillId="29" borderId="85" xfId="20" applyNumberFormat="1" applyFont="1" applyFill="1" applyBorder="1" applyAlignment="1">
      <alignment horizontal="center"/>
    </xf>
    <xf numFmtId="0" fontId="101" fillId="0" borderId="28" xfId="13" applyFont="1" applyFill="1" applyBorder="1" applyAlignment="1">
      <alignment horizontal="left" vertical="center"/>
    </xf>
    <xf numFmtId="0" fontId="101" fillId="0" borderId="28" xfId="13" applyFont="1" applyFill="1" applyBorder="1" applyAlignment="1">
      <alignment horizontal="center"/>
    </xf>
    <xf numFmtId="0" fontId="98" fillId="29" borderId="95" xfId="13" applyFont="1" applyFill="1" applyBorder="1"/>
    <xf numFmtId="9" fontId="98" fillId="29" borderId="75" xfId="20" applyNumberFormat="1" applyFont="1" applyFill="1" applyBorder="1" applyAlignment="1">
      <alignment horizontal="center"/>
    </xf>
    <xf numFmtId="164" fontId="101" fillId="27" borderId="4" xfId="5" applyFont="1" applyFill="1" applyBorder="1" applyAlignment="1">
      <alignment horizontal="center"/>
    </xf>
    <xf numFmtId="0" fontId="101" fillId="28" borderId="93" xfId="13" applyFont="1" applyFill="1" applyBorder="1" applyAlignment="1">
      <alignment horizontal="left" vertical="center"/>
    </xf>
    <xf numFmtId="164" fontId="101" fillId="28" borderId="4" xfId="5" applyFont="1" applyFill="1" applyBorder="1" applyAlignment="1">
      <alignment horizontal="center" vertical="center"/>
    </xf>
    <xf numFmtId="164" fontId="98" fillId="28" borderId="4" xfId="5" applyFont="1" applyFill="1" applyBorder="1"/>
    <xf numFmtId="43" fontId="98" fillId="27" borderId="4" xfId="13" applyNumberFormat="1" applyFont="1" applyFill="1" applyBorder="1" applyAlignment="1">
      <alignment horizontal="center"/>
    </xf>
    <xf numFmtId="43" fontId="101" fillId="27" borderId="4" xfId="13" applyNumberFormat="1" applyFont="1" applyFill="1" applyBorder="1"/>
    <xf numFmtId="9" fontId="98" fillId="29" borderId="96" xfId="20" applyNumberFormat="1" applyFont="1" applyFill="1" applyBorder="1" applyAlignment="1">
      <alignment horizontal="center"/>
    </xf>
    <xf numFmtId="3" fontId="110" fillId="3" borderId="23" xfId="0" applyNumberFormat="1" applyFont="1" applyFill="1" applyBorder="1" applyAlignment="1" applyProtection="1">
      <alignment horizontal="left" vertical="center" wrapText="1"/>
      <protection locked="0"/>
    </xf>
    <xf numFmtId="3" fontId="2" fillId="3" borderId="150" xfId="0" applyNumberFormat="1" applyFont="1" applyFill="1" applyBorder="1" applyAlignment="1" applyProtection="1">
      <alignment horizontal="left" vertical="center" wrapText="1"/>
      <protection locked="0"/>
    </xf>
    <xf numFmtId="0" fontId="5" fillId="0" borderId="1" xfId="13" applyFont="1" applyFill="1" applyBorder="1"/>
    <xf numFmtId="4" fontId="5" fillId="0" borderId="1" xfId="13" applyNumberFormat="1" applyFont="1" applyFill="1" applyBorder="1"/>
    <xf numFmtId="9" fontId="5" fillId="0" borderId="1" xfId="13" applyNumberFormat="1" applyFont="1" applyFill="1" applyBorder="1"/>
    <xf numFmtId="0" fontId="5" fillId="28" borderId="1" xfId="13" applyFont="1" applyFill="1" applyBorder="1"/>
    <xf numFmtId="0" fontId="111" fillId="28" borderId="1" xfId="13" applyFont="1" applyFill="1" applyBorder="1" applyAlignment="1">
      <alignment horizontal="center"/>
    </xf>
    <xf numFmtId="0" fontId="101" fillId="27" borderId="155" xfId="13" applyFont="1" applyFill="1" applyBorder="1" applyAlignment="1">
      <alignment horizontal="center"/>
    </xf>
    <xf numFmtId="0" fontId="111" fillId="0" borderId="1" xfId="13" applyFont="1" applyFill="1" applyBorder="1"/>
    <xf numFmtId="4" fontId="111" fillId="0" borderId="1" xfId="13" applyNumberFormat="1" applyFont="1" applyFill="1" applyBorder="1"/>
    <xf numFmtId="0" fontId="111" fillId="28" borderId="1" xfId="13" applyFont="1" applyFill="1" applyBorder="1"/>
    <xf numFmtId="4" fontId="111" fillId="28" borderId="1" xfId="13" applyNumberFormat="1" applyFont="1" applyFill="1" applyBorder="1"/>
    <xf numFmtId="9" fontId="5" fillId="0" borderId="1" xfId="19" applyFont="1" applyFill="1" applyBorder="1"/>
    <xf numFmtId="43" fontId="101" fillId="27" borderId="149" xfId="13" applyNumberFormat="1" applyFont="1" applyFill="1" applyBorder="1"/>
    <xf numFmtId="0" fontId="98" fillId="0" borderId="147" xfId="13" applyFont="1" applyFill="1" applyBorder="1"/>
    <xf numFmtId="9" fontId="101" fillId="0" borderId="28" xfId="19" applyFont="1" applyFill="1" applyBorder="1" applyAlignment="1">
      <alignment horizontal="center"/>
    </xf>
    <xf numFmtId="9" fontId="101" fillId="0" borderId="28" xfId="19" applyFont="1" applyFill="1" applyBorder="1"/>
    <xf numFmtId="3" fontId="12" fillId="3" borderId="4" xfId="0" applyNumberFormat="1" applyFont="1" applyFill="1" applyBorder="1" applyAlignment="1" applyProtection="1">
      <alignment horizontal="left" vertical="center" wrapText="1"/>
      <protection locked="0"/>
    </xf>
    <xf numFmtId="3" fontId="12" fillId="3" borderId="96" xfId="0" applyNumberFormat="1" applyFont="1" applyFill="1" applyBorder="1" applyAlignment="1" applyProtection="1">
      <alignment horizontal="left" vertical="center" wrapText="1"/>
      <protection locked="0"/>
    </xf>
    <xf numFmtId="2" fontId="12" fillId="3" borderId="1" xfId="0" applyNumberFormat="1" applyFont="1" applyFill="1" applyBorder="1" applyAlignment="1" applyProtection="1">
      <alignment vertical="center" wrapText="1"/>
      <protection locked="0"/>
    </xf>
    <xf numFmtId="0" fontId="29" fillId="0" borderId="0" xfId="0" applyFont="1" applyFill="1" applyAlignment="1" applyProtection="1">
      <alignment wrapText="1"/>
    </xf>
    <xf numFmtId="164" fontId="29" fillId="0" borderId="0" xfId="1" applyFont="1" applyFill="1" applyAlignment="1" applyProtection="1">
      <alignment wrapText="1"/>
    </xf>
    <xf numFmtId="0" fontId="121" fillId="0" borderId="0" xfId="0" applyFont="1" applyFill="1" applyBorder="1" applyAlignment="1" applyProtection="1">
      <alignment vertical="center" wrapText="1"/>
    </xf>
    <xf numFmtId="0" fontId="122" fillId="0" borderId="0" xfId="0" applyFont="1" applyFill="1" applyBorder="1" applyAlignment="1" applyProtection="1">
      <alignment vertical="center"/>
    </xf>
    <xf numFmtId="0" fontId="122" fillId="0" borderId="0" xfId="0" applyFont="1" applyFill="1" applyBorder="1" applyAlignment="1" applyProtection="1">
      <alignment vertical="center" wrapText="1"/>
    </xf>
    <xf numFmtId="0" fontId="112" fillId="0" borderId="0" xfId="0" applyFont="1" applyFill="1" applyBorder="1" applyAlignment="1" applyProtection="1">
      <alignment horizontal="right" vertical="top" wrapText="1"/>
    </xf>
    <xf numFmtId="164" fontId="108" fillId="0" borderId="0" xfId="1" applyFont="1" applyFill="1" applyAlignment="1" applyProtection="1">
      <alignment vertical="top" wrapText="1"/>
    </xf>
    <xf numFmtId="0" fontId="108" fillId="0" borderId="0" xfId="0" applyFont="1" applyFill="1" applyAlignment="1" applyProtection="1">
      <alignment vertical="top" wrapText="1"/>
    </xf>
    <xf numFmtId="0" fontId="108" fillId="0" borderId="0" xfId="0" applyFont="1" applyFill="1" applyBorder="1" applyAlignment="1" applyProtection="1">
      <alignment vertical="top" wrapText="1"/>
    </xf>
    <xf numFmtId="0" fontId="113" fillId="0" borderId="0" xfId="0" applyFont="1" applyFill="1" applyBorder="1" applyAlignment="1" applyProtection="1">
      <alignment vertical="center"/>
    </xf>
    <xf numFmtId="0" fontId="123" fillId="0" borderId="0" xfId="0" applyFont="1" applyFill="1" applyBorder="1" applyAlignment="1" applyProtection="1">
      <alignment vertical="center" wrapText="1"/>
      <protection locked="0"/>
    </xf>
    <xf numFmtId="0" fontId="123" fillId="0" borderId="0" xfId="0" applyFont="1" applyFill="1" applyBorder="1" applyAlignment="1" applyProtection="1">
      <alignment vertical="center"/>
      <protection locked="0"/>
    </xf>
    <xf numFmtId="0" fontId="123" fillId="0" borderId="0" xfId="0" applyFont="1" applyFill="1" applyBorder="1" applyAlignment="1" applyProtection="1">
      <alignment horizontal="center" vertical="center" wrapText="1"/>
      <protection locked="0"/>
    </xf>
    <xf numFmtId="164" fontId="123" fillId="0" borderId="0" xfId="1" applyFont="1" applyFill="1" applyAlignment="1" applyProtection="1">
      <alignment horizontal="center" vertical="center" wrapText="1"/>
      <protection locked="0"/>
    </xf>
    <xf numFmtId="0" fontId="124" fillId="0" borderId="1" xfId="0" applyFont="1" applyFill="1" applyBorder="1" applyAlignment="1" applyProtection="1">
      <alignment horizontal="center" vertical="center" wrapText="1"/>
      <protection locked="0"/>
    </xf>
    <xf numFmtId="0" fontId="123" fillId="0" borderId="0" xfId="0" applyFont="1" applyFill="1" applyAlignment="1" applyProtection="1">
      <alignment vertical="top" wrapText="1"/>
      <protection locked="0"/>
    </xf>
    <xf numFmtId="164" fontId="123" fillId="0" borderId="0" xfId="1" applyFont="1" applyFill="1" applyAlignment="1" applyProtection="1">
      <protection locked="0"/>
    </xf>
    <xf numFmtId="0" fontId="123" fillId="0" borderId="0" xfId="0" applyFont="1" applyFill="1" applyBorder="1" applyAlignment="1" applyProtection="1">
      <alignment vertical="top" wrapText="1"/>
      <protection locked="0"/>
    </xf>
    <xf numFmtId="0" fontId="123" fillId="0" borderId="0" xfId="0" applyFont="1" applyFill="1" applyAlignment="1" applyProtection="1">
      <alignment wrapText="1"/>
      <protection locked="0"/>
    </xf>
    <xf numFmtId="0" fontId="121" fillId="0" borderId="0" xfId="0" applyFont="1" applyFill="1" applyBorder="1" applyAlignment="1" applyProtection="1">
      <alignment vertical="center" wrapText="1"/>
      <protection locked="0"/>
    </xf>
    <xf numFmtId="0" fontId="125" fillId="0" borderId="1" xfId="0" applyNumberFormat="1" applyFont="1" applyFill="1" applyBorder="1" applyAlignment="1" applyProtection="1">
      <alignment horizontal="center" vertical="center" wrapText="1"/>
      <protection locked="0"/>
    </xf>
    <xf numFmtId="0" fontId="125" fillId="0" borderId="1" xfId="0" applyNumberFormat="1" applyFont="1" applyFill="1" applyBorder="1" applyAlignment="1" applyProtection="1">
      <alignment horizontal="left" vertical="center" wrapText="1"/>
      <protection locked="0"/>
    </xf>
    <xf numFmtId="0" fontId="125" fillId="0" borderId="0" xfId="0" applyNumberFormat="1" applyFont="1" applyFill="1" applyBorder="1" applyAlignment="1" applyProtection="1">
      <alignment horizontal="center" vertical="center" wrapText="1"/>
      <protection locked="0"/>
    </xf>
    <xf numFmtId="164" fontId="125" fillId="0" borderId="0" xfId="1" applyFont="1" applyFill="1" applyAlignment="1" applyProtection="1">
      <alignment horizontal="center" vertical="center" wrapText="1"/>
      <protection locked="0"/>
    </xf>
    <xf numFmtId="0" fontId="125" fillId="0" borderId="0" xfId="0" applyNumberFormat="1" applyFont="1" applyFill="1" applyAlignment="1" applyProtection="1">
      <alignment horizontal="center" vertical="center" wrapText="1"/>
      <protection locked="0"/>
    </xf>
    <xf numFmtId="9" fontId="126" fillId="0" borderId="75" xfId="20" applyNumberFormat="1" applyFont="1" applyFill="1" applyBorder="1" applyAlignment="1" applyProtection="1">
      <alignment horizontal="center" vertical="center" wrapText="1"/>
      <protection locked="0"/>
    </xf>
    <xf numFmtId="0" fontId="108" fillId="0" borderId="0" xfId="0" applyFont="1" applyFill="1" applyAlignment="1" applyProtection="1">
      <alignment vertical="top" wrapText="1"/>
      <protection locked="0"/>
    </xf>
    <xf numFmtId="0" fontId="29" fillId="0" borderId="0" xfId="0" applyFont="1" applyFill="1" applyAlignment="1" applyProtection="1">
      <alignment wrapText="1"/>
      <protection locked="0"/>
    </xf>
    <xf numFmtId="9" fontId="126" fillId="0" borderId="1" xfId="20" applyNumberFormat="1" applyFont="1" applyFill="1" applyBorder="1" applyAlignment="1" applyProtection="1">
      <alignment horizontal="center" vertical="center" wrapText="1"/>
      <protection locked="0"/>
    </xf>
    <xf numFmtId="0" fontId="18" fillId="30" borderId="0" xfId="0" applyFont="1" applyFill="1" applyBorder="1" applyAlignment="1" applyProtection="1">
      <alignment horizontal="center" vertical="center" wrapText="1"/>
      <protection locked="0"/>
    </xf>
    <xf numFmtId="164" fontId="108" fillId="0" borderId="0" xfId="1" applyFont="1" applyFill="1" applyAlignment="1" applyProtection="1">
      <alignment vertical="top" wrapText="1"/>
      <protection locked="0"/>
    </xf>
    <xf numFmtId="0" fontId="108" fillId="0" borderId="0" xfId="0" applyFont="1" applyFill="1" applyBorder="1" applyAlignment="1" applyProtection="1">
      <alignment vertical="top" wrapText="1"/>
      <protection locked="0"/>
    </xf>
    <xf numFmtId="9" fontId="126" fillId="0" borderId="0" xfId="20" applyNumberFormat="1" applyFont="1" applyFill="1" applyAlignment="1" applyProtection="1">
      <alignment horizontal="center" vertical="center" wrapText="1"/>
      <protection locked="0"/>
    </xf>
    <xf numFmtId="0" fontId="127" fillId="0" borderId="0" xfId="0" applyFont="1" applyFill="1" applyBorder="1" applyAlignment="1" applyProtection="1">
      <alignment vertical="center"/>
      <protection locked="0"/>
    </xf>
    <xf numFmtId="0" fontId="122" fillId="0" borderId="0" xfId="0" applyFont="1" applyFill="1" applyBorder="1" applyAlignment="1" applyProtection="1">
      <alignment vertical="center" wrapText="1"/>
      <protection locked="0"/>
    </xf>
    <xf numFmtId="0" fontId="108" fillId="0" borderId="0" xfId="0" applyFont="1" applyFill="1" applyBorder="1" applyAlignment="1" applyProtection="1">
      <alignment vertical="top"/>
    </xf>
    <xf numFmtId="0" fontId="108" fillId="0" borderId="0" xfId="0" applyFont="1" applyFill="1" applyBorder="1" applyAlignment="1" applyProtection="1">
      <alignment vertical="center" wrapText="1"/>
    </xf>
    <xf numFmtId="164" fontId="108" fillId="0" borderId="0" xfId="1" applyFont="1" applyFill="1" applyBorder="1" applyAlignment="1" applyProtection="1">
      <alignment vertical="center" wrapText="1"/>
    </xf>
    <xf numFmtId="0" fontId="128" fillId="0" borderId="0" xfId="0" applyFont="1" applyFill="1" applyBorder="1" applyAlignment="1" applyProtection="1">
      <alignment horizontal="center" vertical="center" wrapText="1"/>
    </xf>
    <xf numFmtId="164" fontId="128" fillId="0" borderId="0" xfId="1" applyFont="1" applyFill="1" applyBorder="1" applyAlignment="1" applyProtection="1">
      <alignment horizontal="center" vertical="center" wrapText="1"/>
    </xf>
    <xf numFmtId="0" fontId="109" fillId="0" borderId="0" xfId="0" applyFont="1" applyFill="1" applyBorder="1" applyAlignment="1" applyProtection="1">
      <alignment vertical="center" wrapText="1"/>
    </xf>
    <xf numFmtId="0" fontId="129" fillId="0" borderId="142" xfId="0" applyFont="1" applyFill="1" applyBorder="1" applyAlignment="1" applyProtection="1">
      <alignment horizontal="center" vertical="center" wrapText="1"/>
    </xf>
    <xf numFmtId="0" fontId="108" fillId="0" borderId="12" xfId="0" applyFont="1" applyFill="1" applyBorder="1" applyAlignment="1" applyProtection="1">
      <alignment horizontal="center" vertical="center" wrapText="1"/>
    </xf>
    <xf numFmtId="0" fontId="129" fillId="0" borderId="69" xfId="0" applyFont="1" applyFill="1" applyBorder="1" applyAlignment="1" applyProtection="1">
      <alignment horizontal="center" vertical="center" wrapText="1"/>
    </xf>
    <xf numFmtId="0" fontId="109" fillId="0" borderId="94" xfId="0" applyFont="1" applyFill="1" applyBorder="1" applyAlignment="1" applyProtection="1">
      <alignment horizontal="center" vertical="center" wrapText="1"/>
    </xf>
    <xf numFmtId="164" fontId="109" fillId="0" borderId="85" xfId="1" applyFont="1" applyFill="1" applyBorder="1" applyAlignment="1" applyProtection="1">
      <alignment horizontal="center" vertical="center" wrapText="1"/>
    </xf>
    <xf numFmtId="0" fontId="109" fillId="0" borderId="85" xfId="0" applyFont="1" applyFill="1" applyBorder="1" applyAlignment="1" applyProtection="1">
      <alignment horizontal="center" vertical="center" wrapText="1"/>
    </xf>
    <xf numFmtId="0" fontId="109" fillId="0" borderId="96" xfId="0" applyFont="1" applyFill="1" applyBorder="1" applyAlignment="1" applyProtection="1">
      <alignment horizontal="center" vertical="center" wrapText="1"/>
    </xf>
    <xf numFmtId="0" fontId="108" fillId="0" borderId="4" xfId="0" applyFont="1" applyFill="1" applyBorder="1" applyAlignment="1" applyProtection="1">
      <alignment horizontal="center" vertical="center" wrapText="1"/>
    </xf>
    <xf numFmtId="0" fontId="109" fillId="0" borderId="114" xfId="0" applyFont="1" applyFill="1" applyBorder="1" applyAlignment="1" applyProtection="1">
      <alignment horizontal="center" vertical="center" wrapText="1"/>
    </xf>
    <xf numFmtId="0" fontId="120" fillId="0" borderId="92" xfId="0" applyNumberFormat="1" applyFont="1" applyFill="1" applyBorder="1" applyAlignment="1" applyProtection="1">
      <alignment horizontal="center" vertical="center" wrapText="1"/>
    </xf>
    <xf numFmtId="164" fontId="29" fillId="0" borderId="3" xfId="1" applyFont="1" applyFill="1" applyBorder="1" applyAlignment="1" applyProtection="1">
      <alignment horizontal="center" vertical="center" wrapText="1"/>
    </xf>
    <xf numFmtId="0" fontId="120" fillId="0" borderId="3" xfId="0" applyNumberFormat="1" applyFont="1" applyFill="1" applyBorder="1" applyAlignment="1" applyProtection="1">
      <alignment horizontal="center" vertical="center" wrapText="1"/>
    </xf>
    <xf numFmtId="164" fontId="120" fillId="0" borderId="3" xfId="1" applyFont="1" applyFill="1" applyBorder="1" applyAlignment="1" applyProtection="1">
      <alignment horizontal="center" vertical="center" wrapText="1"/>
    </xf>
    <xf numFmtId="0" fontId="120" fillId="0" borderId="12" xfId="0" applyNumberFormat="1" applyFont="1" applyFill="1" applyBorder="1" applyAlignment="1" applyProtection="1">
      <alignment horizontal="center" vertical="center" wrapText="1"/>
    </xf>
    <xf numFmtId="0" fontId="109" fillId="0" borderId="71" xfId="0" applyFont="1" applyFill="1" applyBorder="1" applyAlignment="1" applyProtection="1">
      <alignment horizontal="center" vertical="center" wrapText="1"/>
    </xf>
    <xf numFmtId="0" fontId="120" fillId="0" borderId="93" xfId="0" applyNumberFormat="1" applyFont="1" applyFill="1" applyBorder="1" applyAlignment="1" applyProtection="1">
      <alignment horizontal="center" vertical="center" wrapText="1"/>
    </xf>
    <xf numFmtId="164" fontId="120" fillId="0" borderId="1" xfId="1" applyFont="1" applyFill="1" applyBorder="1" applyAlignment="1" applyProtection="1">
      <alignment horizontal="center" vertical="center" wrapText="1"/>
    </xf>
    <xf numFmtId="0" fontId="120" fillId="0" borderId="1" xfId="0" applyNumberFormat="1" applyFont="1" applyFill="1" applyBorder="1" applyAlignment="1" applyProtection="1">
      <alignment horizontal="center" vertical="center" wrapText="1"/>
    </xf>
    <xf numFmtId="0" fontId="120" fillId="0" borderId="4" xfId="0" applyNumberFormat="1" applyFont="1" applyFill="1" applyBorder="1" applyAlignment="1" applyProtection="1">
      <alignment horizontal="center" vertical="center" wrapText="1"/>
    </xf>
    <xf numFmtId="0" fontId="108" fillId="0" borderId="96" xfId="0" applyFont="1" applyFill="1" applyBorder="1" applyAlignment="1" applyProtection="1">
      <alignment horizontal="center" vertical="center" wrapText="1"/>
    </xf>
    <xf numFmtId="0" fontId="109" fillId="0" borderId="174" xfId="0" applyFont="1" applyFill="1" applyBorder="1" applyAlignment="1" applyProtection="1">
      <alignment horizontal="center" vertical="center" wrapText="1"/>
    </xf>
    <xf numFmtId="0" fontId="120" fillId="0" borderId="147" xfId="0" applyNumberFormat="1" applyFont="1" applyFill="1" applyBorder="1" applyAlignment="1" applyProtection="1">
      <alignment horizontal="center" vertical="center" wrapText="1"/>
    </xf>
    <xf numFmtId="164" fontId="120" fillId="0" borderId="28" xfId="1" applyFont="1" applyFill="1" applyBorder="1" applyAlignment="1" applyProtection="1">
      <alignment horizontal="center" vertical="center" wrapText="1"/>
    </xf>
    <xf numFmtId="0" fontId="120" fillId="0" borderId="28" xfId="0" applyNumberFormat="1" applyFont="1" applyFill="1" applyBorder="1" applyAlignment="1" applyProtection="1">
      <alignment horizontal="center" vertical="center" wrapText="1"/>
    </xf>
    <xf numFmtId="0" fontId="120" fillId="0" borderId="149" xfId="0" applyNumberFormat="1" applyFont="1" applyFill="1" applyBorder="1" applyAlignment="1" applyProtection="1">
      <alignment horizontal="center" vertical="center" wrapText="1"/>
    </xf>
    <xf numFmtId="9" fontId="118" fillId="0" borderId="12" xfId="20" applyFont="1" applyFill="1" applyBorder="1" applyAlignment="1" applyProtection="1">
      <alignment horizontal="center" vertical="center" wrapText="1"/>
    </xf>
    <xf numFmtId="9" fontId="118" fillId="0" borderId="0" xfId="20" applyFont="1" applyFill="1" applyBorder="1" applyAlignment="1" applyProtection="1">
      <alignment vertical="center" wrapText="1"/>
    </xf>
    <xf numFmtId="0" fontId="118" fillId="0" borderId="175" xfId="0" applyFont="1" applyFill="1" applyBorder="1" applyAlignment="1" applyProtection="1">
      <alignment horizontal="center" vertical="center" wrapText="1"/>
    </xf>
    <xf numFmtId="0" fontId="120" fillId="0" borderId="94" xfId="0" applyNumberFormat="1" applyFont="1" applyFill="1" applyBorder="1" applyAlignment="1" applyProtection="1">
      <alignment horizontal="center" vertical="center" wrapText="1"/>
    </xf>
    <xf numFmtId="164" fontId="120" fillId="0" borderId="85" xfId="1" applyFont="1" applyFill="1" applyBorder="1" applyAlignment="1" applyProtection="1">
      <alignment horizontal="center" vertical="center" wrapText="1"/>
    </xf>
    <xf numFmtId="0" fontId="120" fillId="0" borderId="85" xfId="0" applyNumberFormat="1" applyFont="1" applyFill="1" applyBorder="1" applyAlignment="1" applyProtection="1">
      <alignment horizontal="center" vertical="center" wrapText="1"/>
    </xf>
    <xf numFmtId="0" fontId="120" fillId="0" borderId="96" xfId="0" applyNumberFormat="1" applyFont="1" applyFill="1" applyBorder="1" applyAlignment="1" applyProtection="1">
      <alignment horizontal="center" vertical="center" wrapText="1"/>
    </xf>
    <xf numFmtId="9" fontId="130" fillId="0" borderId="4" xfId="20" applyFont="1" applyFill="1" applyBorder="1" applyAlignment="1" applyProtection="1">
      <alignment horizontal="center" vertical="center" wrapText="1"/>
    </xf>
    <xf numFmtId="9" fontId="130" fillId="0" borderId="0" xfId="20" applyFont="1" applyFill="1" applyBorder="1" applyAlignment="1" applyProtection="1">
      <alignment vertical="center" wrapText="1"/>
    </xf>
    <xf numFmtId="1" fontId="130" fillId="0" borderId="4" xfId="20" applyNumberFormat="1" applyFont="1" applyFill="1" applyBorder="1" applyAlignment="1" applyProtection="1">
      <alignment horizontal="center" vertical="center" wrapText="1"/>
    </xf>
    <xf numFmtId="1" fontId="130" fillId="0" borderId="0" xfId="20" applyNumberFormat="1" applyFont="1" applyFill="1" applyBorder="1" applyAlignment="1" applyProtection="1">
      <alignment vertical="center" wrapText="1"/>
    </xf>
    <xf numFmtId="9" fontId="118" fillId="0" borderId="4" xfId="20" applyFont="1" applyFill="1" applyBorder="1" applyAlignment="1" applyProtection="1">
      <alignment horizontal="center" vertical="center" wrapText="1"/>
    </xf>
    <xf numFmtId="0" fontId="131" fillId="0" borderId="0" xfId="0" applyFont="1" applyFill="1" applyBorder="1" applyAlignment="1" applyProtection="1">
      <alignment vertical="center" wrapText="1"/>
    </xf>
    <xf numFmtId="164" fontId="131" fillId="0" borderId="0" xfId="1" applyFont="1" applyFill="1" applyBorder="1" applyAlignment="1" applyProtection="1">
      <alignment vertical="center" wrapText="1"/>
    </xf>
    <xf numFmtId="0" fontId="132" fillId="0" borderId="4" xfId="0" applyFont="1" applyFill="1" applyBorder="1" applyAlignment="1" applyProtection="1">
      <alignment horizontal="center" vertical="center" wrapText="1"/>
    </xf>
    <xf numFmtId="0" fontId="131" fillId="0" borderId="11" xfId="0" applyFont="1" applyFill="1" applyBorder="1" applyAlignment="1" applyProtection="1">
      <alignment vertical="center" wrapText="1"/>
    </xf>
    <xf numFmtId="0" fontId="132" fillId="0" borderId="96" xfId="0" applyNumberFormat="1" applyFont="1" applyFill="1" applyBorder="1" applyAlignment="1" applyProtection="1">
      <alignment horizontal="center" vertical="center" wrapText="1"/>
    </xf>
    <xf numFmtId="0" fontId="132" fillId="0" borderId="0" xfId="0" applyNumberFormat="1" applyFont="1" applyFill="1" applyBorder="1" applyAlignment="1" applyProtection="1">
      <alignment vertical="center" wrapText="1"/>
    </xf>
    <xf numFmtId="9" fontId="118" fillId="0" borderId="12" xfId="0" applyNumberFormat="1" applyFont="1" applyFill="1" applyBorder="1" applyAlignment="1" applyProtection="1">
      <alignment horizontal="center" vertical="center" wrapText="1"/>
    </xf>
    <xf numFmtId="9" fontId="118" fillId="0" borderId="0" xfId="0" applyNumberFormat="1" applyFont="1" applyFill="1" applyBorder="1" applyAlignment="1" applyProtection="1">
      <alignment vertical="center" wrapText="1"/>
    </xf>
    <xf numFmtId="0" fontId="118" fillId="0" borderId="156" xfId="0" applyFont="1" applyFill="1" applyBorder="1" applyAlignment="1" applyProtection="1">
      <alignment horizontal="center" vertical="center" wrapText="1"/>
    </xf>
    <xf numFmtId="0" fontId="118" fillId="0" borderId="0" xfId="0" applyFont="1" applyFill="1" applyBorder="1" applyAlignment="1" applyProtection="1">
      <alignment vertical="center" wrapText="1"/>
    </xf>
    <xf numFmtId="3" fontId="133" fillId="3" borderId="28" xfId="0" applyNumberFormat="1" applyFont="1" applyFill="1" applyBorder="1" applyAlignment="1" applyProtection="1">
      <alignment horizontal="center" vertical="center" wrapText="1"/>
      <protection locked="0"/>
    </xf>
    <xf numFmtId="9" fontId="133" fillId="3" borderId="28" xfId="19" applyFont="1" applyFill="1" applyBorder="1" applyAlignment="1" applyProtection="1">
      <alignment horizontal="center" vertical="center" wrapText="1"/>
      <protection locked="0"/>
    </xf>
    <xf numFmtId="0" fontId="123" fillId="0" borderId="28" xfId="0" applyFont="1" applyFill="1" applyBorder="1" applyAlignment="1" applyProtection="1">
      <alignment horizontal="center" vertical="center" wrapText="1"/>
      <protection locked="0"/>
    </xf>
    <xf numFmtId="164" fontId="123" fillId="0" borderId="28" xfId="1" applyFont="1" applyFill="1" applyBorder="1" applyAlignment="1" applyProtection="1">
      <alignment horizontal="center" vertical="center" wrapText="1"/>
      <protection locked="0"/>
    </xf>
    <xf numFmtId="164" fontId="125" fillId="0" borderId="1" xfId="1" applyFont="1" applyFill="1" applyBorder="1" applyAlignment="1" applyProtection="1">
      <alignment horizontal="center" vertical="center" wrapText="1"/>
      <protection locked="0"/>
    </xf>
    <xf numFmtId="0" fontId="12" fillId="29" borderId="71" xfId="0" applyFont="1" applyFill="1" applyBorder="1" applyAlignment="1" applyProtection="1">
      <alignment horizontal="center" vertical="center" wrapText="1"/>
      <protection locked="0"/>
    </xf>
    <xf numFmtId="0" fontId="15" fillId="4" borderId="1" xfId="0" applyNumberFormat="1" applyFont="1" applyFill="1" applyBorder="1" applyAlignment="1" applyProtection="1">
      <alignment vertical="center" wrapText="1"/>
    </xf>
    <xf numFmtId="165" fontId="116" fillId="0" borderId="0" xfId="1" applyNumberFormat="1" applyFont="1" applyBorder="1" applyAlignment="1">
      <alignment horizontal="center" vertical="center"/>
    </xf>
    <xf numFmtId="164" fontId="18" fillId="0" borderId="0" xfId="1" applyFont="1" applyFill="1" applyBorder="1" applyAlignment="1" applyProtection="1">
      <alignment vertical="center" wrapText="1"/>
      <protection locked="0"/>
    </xf>
    <xf numFmtId="164" fontId="18" fillId="30" borderId="0" xfId="1" applyFont="1" applyFill="1" applyBorder="1" applyAlignment="1" applyProtection="1">
      <alignment horizontal="center" vertical="center" wrapText="1"/>
      <protection locked="0"/>
    </xf>
    <xf numFmtId="0" fontId="12" fillId="30" borderId="0" xfId="0" applyFont="1" applyFill="1" applyBorder="1" applyAlignment="1" applyProtection="1">
      <alignment horizontal="center" vertical="center" wrapText="1"/>
      <protection locked="0"/>
    </xf>
    <xf numFmtId="164" fontId="12" fillId="0" borderId="0" xfId="1" applyFont="1" applyFill="1" applyBorder="1" applyAlignment="1" applyProtection="1">
      <alignment vertical="center" wrapText="1"/>
      <protection locked="0"/>
    </xf>
    <xf numFmtId="165" fontId="116" fillId="0" borderId="0" xfId="1" applyNumberFormat="1" applyFont="1" applyFill="1" applyBorder="1" applyAlignment="1">
      <alignment horizontal="center" vertical="center"/>
    </xf>
    <xf numFmtId="0" fontId="64" fillId="0" borderId="168" xfId="17" applyFont="1" applyFill="1" applyBorder="1"/>
    <xf numFmtId="0" fontId="66" fillId="0" borderId="168" xfId="17" applyFont="1" applyFill="1" applyBorder="1"/>
    <xf numFmtId="43" fontId="29" fillId="0" borderId="167" xfId="10" applyFont="1" applyFill="1" applyBorder="1"/>
    <xf numFmtId="43" fontId="29" fillId="0" borderId="16" xfId="10" applyFont="1" applyFill="1" applyBorder="1"/>
    <xf numFmtId="0" fontId="2" fillId="0" borderId="168" xfId="9" applyFont="1" applyFill="1" applyBorder="1">
      <alignment vertical="center"/>
    </xf>
    <xf numFmtId="0" fontId="29" fillId="0" borderId="168" xfId="9" applyFont="1" applyFill="1" applyBorder="1">
      <alignment vertical="center"/>
    </xf>
    <xf numFmtId="43" fontId="29" fillId="0" borderId="16" xfId="9" applyNumberFormat="1" applyFont="1" applyFill="1" applyBorder="1">
      <alignment vertical="center"/>
    </xf>
    <xf numFmtId="43" fontId="29" fillId="0" borderId="1" xfId="9" applyNumberFormat="1" applyFont="1" applyFill="1" applyBorder="1">
      <alignment vertical="center"/>
    </xf>
    <xf numFmtId="0" fontId="23" fillId="0" borderId="168" xfId="9" applyFont="1" applyFill="1" applyBorder="1">
      <alignment vertical="center"/>
    </xf>
    <xf numFmtId="0" fontId="109" fillId="0" borderId="168" xfId="9" applyFont="1" applyFill="1" applyBorder="1">
      <alignment vertical="center"/>
    </xf>
    <xf numFmtId="43" fontId="109" fillId="0" borderId="168" xfId="9" applyNumberFormat="1" applyFont="1" applyFill="1" applyBorder="1">
      <alignment vertical="center"/>
    </xf>
    <xf numFmtId="43" fontId="109" fillId="0" borderId="13" xfId="9" applyNumberFormat="1" applyFont="1" applyFill="1" applyBorder="1">
      <alignment vertical="center"/>
    </xf>
    <xf numFmtId="0" fontId="64" fillId="0" borderId="168" xfId="9" applyFont="1" applyFill="1" applyBorder="1">
      <alignment vertical="center"/>
    </xf>
    <xf numFmtId="0" fontId="66" fillId="0" borderId="168" xfId="9" applyFont="1" applyFill="1" applyBorder="1">
      <alignment vertical="center"/>
    </xf>
    <xf numFmtId="43" fontId="29" fillId="0" borderId="167" xfId="9" applyNumberFormat="1" applyFont="1" applyFill="1" applyBorder="1">
      <alignment vertical="center"/>
    </xf>
    <xf numFmtId="0" fontId="2" fillId="0" borderId="176" xfId="9" applyFont="1" applyFill="1" applyBorder="1">
      <alignment vertical="center"/>
    </xf>
    <xf numFmtId="43" fontId="29" fillId="0" borderId="177" xfId="9" applyNumberFormat="1" applyFont="1" applyFill="1" applyBorder="1">
      <alignment vertical="center"/>
    </xf>
    <xf numFmtId="43" fontId="109" fillId="0" borderId="167" xfId="9" applyNumberFormat="1" applyFont="1" applyFill="1" applyBorder="1">
      <alignment vertical="center"/>
    </xf>
    <xf numFmtId="43" fontId="109" fillId="0" borderId="16" xfId="9" applyNumberFormat="1" applyFont="1" applyFill="1" applyBorder="1">
      <alignment vertical="center"/>
    </xf>
    <xf numFmtId="0" fontId="2" fillId="0" borderId="178" xfId="9" applyFont="1" applyFill="1" applyBorder="1">
      <alignment vertical="center"/>
    </xf>
    <xf numFmtId="43" fontId="29" fillId="0" borderId="179" xfId="9" applyNumberFormat="1" applyFont="1" applyFill="1" applyBorder="1">
      <alignment vertical="center"/>
    </xf>
    <xf numFmtId="43" fontId="29" fillId="0" borderId="0" xfId="9" applyNumberFormat="1" applyFont="1" applyFill="1" applyBorder="1">
      <alignment vertical="center"/>
    </xf>
    <xf numFmtId="0" fontId="23" fillId="0" borderId="180" xfId="9" applyFont="1" applyFill="1" applyBorder="1">
      <alignment vertical="center"/>
    </xf>
    <xf numFmtId="43" fontId="109" fillId="0" borderId="181" xfId="9" applyNumberFormat="1" applyFont="1" applyFill="1" applyBorder="1">
      <alignment vertical="center"/>
    </xf>
    <xf numFmtId="43" fontId="109" fillId="0" borderId="182" xfId="9" applyNumberFormat="1" applyFont="1" applyFill="1" applyBorder="1">
      <alignment vertical="center"/>
    </xf>
    <xf numFmtId="0" fontId="23" fillId="0" borderId="183" xfId="9" applyFont="1" applyFill="1" applyBorder="1">
      <alignment vertical="center"/>
    </xf>
    <xf numFmtId="0" fontId="29" fillId="0" borderId="184" xfId="9" applyFont="1" applyFill="1" applyBorder="1">
      <alignment vertical="center"/>
    </xf>
    <xf numFmtId="0" fontId="29" fillId="0" borderId="54" xfId="9" applyFont="1" applyFill="1" applyBorder="1">
      <alignment vertical="center"/>
    </xf>
    <xf numFmtId="0" fontId="23" fillId="0" borderId="185" xfId="9" applyFont="1" applyFill="1" applyBorder="1">
      <alignment vertical="center"/>
    </xf>
    <xf numFmtId="43" fontId="109" fillId="0" borderId="186" xfId="9" applyNumberFormat="1" applyFont="1" applyFill="1" applyBorder="1">
      <alignment vertical="center"/>
    </xf>
    <xf numFmtId="43" fontId="109" fillId="0" borderId="187" xfId="9" applyNumberFormat="1" applyFont="1" applyFill="1" applyBorder="1">
      <alignment vertical="center"/>
    </xf>
    <xf numFmtId="0" fontId="107" fillId="0" borderId="97" xfId="13" applyFont="1" applyFill="1" applyBorder="1" applyAlignment="1">
      <alignment vertical="center"/>
    </xf>
    <xf numFmtId="0" fontId="107" fillId="0" borderId="54" xfId="13" applyFont="1" applyFill="1" applyBorder="1" applyAlignment="1">
      <alignment vertical="center"/>
    </xf>
    <xf numFmtId="43" fontId="12" fillId="3" borderId="75" xfId="0" applyNumberFormat="1" applyFont="1" applyFill="1" applyBorder="1" applyAlignment="1" applyProtection="1">
      <alignment horizontal="left" vertical="center" wrapText="1"/>
      <protection locked="0"/>
    </xf>
    <xf numFmtId="4" fontId="13" fillId="4" borderId="1" xfId="0" applyNumberFormat="1" applyFont="1" applyFill="1" applyBorder="1" applyAlignment="1" applyProtection="1">
      <alignment horizontal="center"/>
    </xf>
    <xf numFmtId="4" fontId="13" fillId="3" borderId="0" xfId="0" applyNumberFormat="1" applyFont="1" applyFill="1" applyBorder="1" applyAlignment="1" applyProtection="1"/>
    <xf numFmtId="4" fontId="13" fillId="3" borderId="0" xfId="0" applyNumberFormat="1" applyFont="1" applyFill="1" applyBorder="1" applyAlignment="1" applyProtection="1">
      <alignment horizontal="center"/>
    </xf>
    <xf numFmtId="43" fontId="12" fillId="0" borderId="75" xfId="0" applyNumberFormat="1" applyFont="1" applyFill="1" applyBorder="1" applyAlignment="1" applyProtection="1">
      <alignment horizontal="left" vertical="center"/>
    </xf>
    <xf numFmtId="0" fontId="0" fillId="22" borderId="0" xfId="0" applyFill="1" applyBorder="1" applyAlignment="1" applyProtection="1">
      <alignment vertical="center"/>
    </xf>
    <xf numFmtId="0" fontId="15" fillId="22" borderId="0" xfId="0" applyFont="1" applyFill="1" applyAlignment="1" applyProtection="1">
      <alignment vertical="center"/>
    </xf>
    <xf numFmtId="0" fontId="8" fillId="22" borderId="0" xfId="0" applyFont="1" applyFill="1" applyBorder="1" applyAlignment="1" applyProtection="1">
      <alignment horizontal="center" vertical="center" wrapText="1"/>
    </xf>
    <xf numFmtId="3" fontId="2" fillId="22" borderId="1" xfId="0" applyNumberFormat="1" applyFont="1" applyFill="1" applyBorder="1" applyAlignment="1" applyProtection="1">
      <alignment horizontal="center" vertical="center"/>
      <protection locked="0"/>
    </xf>
    <xf numFmtId="43" fontId="12" fillId="22" borderId="1" xfId="0" applyNumberFormat="1" applyFont="1" applyFill="1" applyBorder="1" applyAlignment="1" applyProtection="1">
      <alignment horizontal="center" vertical="center"/>
      <protection locked="0"/>
    </xf>
    <xf numFmtId="3" fontId="12" fillId="22" borderId="0" xfId="0" applyNumberFormat="1" applyFont="1" applyFill="1" applyAlignment="1" applyProtection="1">
      <alignment horizontal="center" vertical="center"/>
    </xf>
    <xf numFmtId="0" fontId="0" fillId="22" borderId="0" xfId="0" applyFill="1" applyAlignment="1" applyProtection="1">
      <alignment vertical="center"/>
    </xf>
    <xf numFmtId="0" fontId="12" fillId="0" borderId="4" xfId="0" applyFont="1" applyFill="1" applyBorder="1" applyAlignment="1" applyProtection="1">
      <alignment horizontal="left" vertical="center" wrapText="1"/>
      <protection locked="0"/>
    </xf>
    <xf numFmtId="0" fontId="5" fillId="3" borderId="0" xfId="0" applyFont="1" applyFill="1" applyProtection="1"/>
    <xf numFmtId="0" fontId="4" fillId="3" borderId="0" xfId="0" applyFont="1" applyFill="1" applyAlignment="1" applyProtection="1">
      <alignment horizontal="left" vertical="top" wrapText="1"/>
    </xf>
    <xf numFmtId="0" fontId="21" fillId="3" borderId="0" xfId="0" applyFont="1" applyFill="1" applyAlignment="1" applyProtection="1">
      <alignment horizontal="center" wrapText="1"/>
    </xf>
    <xf numFmtId="0" fontId="19" fillId="3" borderId="0" xfId="0" applyFont="1" applyFill="1" applyAlignment="1" applyProtection="1">
      <alignment wrapText="1"/>
    </xf>
    <xf numFmtId="0" fontId="9" fillId="3" borderId="0" xfId="0" applyFont="1" applyFill="1" applyAlignment="1" applyProtection="1">
      <alignment horizontal="center" vertical="top" wrapText="1"/>
    </xf>
    <xf numFmtId="0" fontId="21" fillId="0" borderId="0" xfId="0" applyFont="1" applyAlignment="1" applyProtection="1">
      <alignment horizontal="left" vertical="center" wrapText="1"/>
    </xf>
    <xf numFmtId="0" fontId="11" fillId="2" borderId="76" xfId="0" applyFont="1" applyFill="1" applyBorder="1" applyAlignment="1" applyProtection="1">
      <alignment horizontal="left" vertical="center"/>
    </xf>
    <xf numFmtId="0" fontId="11" fillId="2" borderId="192" xfId="0" applyFont="1" applyFill="1" applyBorder="1" applyAlignment="1" applyProtection="1">
      <alignment horizontal="left" vertical="center"/>
    </xf>
    <xf numFmtId="0" fontId="12" fillId="0" borderId="90" xfId="0" applyFont="1" applyFill="1" applyBorder="1" applyAlignment="1" applyProtection="1">
      <alignment horizontal="left" vertical="center" indent="1"/>
      <protection locked="0"/>
    </xf>
    <xf numFmtId="0" fontId="12" fillId="0" borderId="8" xfId="0" applyFont="1" applyFill="1" applyBorder="1" applyAlignment="1" applyProtection="1">
      <alignment horizontal="left" vertical="center" indent="1"/>
      <protection locked="0"/>
    </xf>
    <xf numFmtId="0" fontId="12" fillId="0" borderId="91" xfId="0" applyFont="1" applyFill="1" applyBorder="1" applyAlignment="1" applyProtection="1">
      <alignment horizontal="left" vertical="center" indent="1"/>
      <protection locked="0"/>
    </xf>
    <xf numFmtId="0" fontId="12" fillId="0" borderId="13" xfId="0" applyFont="1" applyFill="1" applyBorder="1" applyAlignment="1" applyProtection="1">
      <alignment horizontal="left" vertical="center" indent="1"/>
      <protection locked="0"/>
    </xf>
    <xf numFmtId="0" fontId="12" fillId="0" borderId="16" xfId="0" applyFont="1" applyFill="1" applyBorder="1" applyAlignment="1" applyProtection="1">
      <alignment horizontal="left" vertical="center" indent="1"/>
      <protection locked="0"/>
    </xf>
    <xf numFmtId="0" fontId="12" fillId="0" borderId="70" xfId="0" applyFont="1" applyFill="1" applyBorder="1" applyAlignment="1" applyProtection="1">
      <alignment horizontal="left" vertical="center" indent="1"/>
      <protection locked="0"/>
    </xf>
    <xf numFmtId="0" fontId="11" fillId="2" borderId="11" xfId="0" applyFont="1" applyFill="1" applyBorder="1" applyAlignment="1" applyProtection="1">
      <alignment horizontal="left" vertical="center"/>
    </xf>
    <xf numFmtId="0" fontId="11" fillId="2" borderId="9" xfId="0" applyFont="1" applyFill="1" applyBorder="1" applyAlignment="1" applyProtection="1">
      <alignment horizontal="left" vertical="center"/>
    </xf>
    <xf numFmtId="0" fontId="13" fillId="0" borderId="13" xfId="0" applyFont="1" applyBorder="1" applyAlignment="1" applyProtection="1">
      <alignment horizontal="left" vertical="center" indent="1"/>
      <protection locked="0"/>
    </xf>
    <xf numFmtId="0" fontId="13" fillId="0" borderId="16" xfId="0" applyFont="1" applyBorder="1" applyAlignment="1" applyProtection="1">
      <alignment horizontal="left" vertical="center" indent="1"/>
      <protection locked="0"/>
    </xf>
    <xf numFmtId="0" fontId="13" fillId="0" borderId="70" xfId="0" applyFont="1" applyBorder="1" applyAlignment="1" applyProtection="1">
      <alignment horizontal="left" vertical="center" indent="1"/>
      <protection locked="0"/>
    </xf>
    <xf numFmtId="0" fontId="12" fillId="0" borderId="1" xfId="0" applyFont="1" applyFill="1" applyBorder="1" applyAlignment="1" applyProtection="1">
      <alignment horizontal="left" vertical="center" wrapText="1" indent="1"/>
      <protection locked="0"/>
    </xf>
    <xf numFmtId="0" fontId="12" fillId="0" borderId="1" xfId="0" applyFont="1" applyBorder="1" applyAlignment="1" applyProtection="1">
      <alignment horizontal="left" vertical="center" wrapText="1" indent="1"/>
      <protection locked="0"/>
    </xf>
    <xf numFmtId="0" fontId="12" fillId="0" borderId="4" xfId="0" applyFont="1" applyBorder="1" applyAlignment="1" applyProtection="1">
      <alignment horizontal="left" vertical="center" wrapText="1" indent="1"/>
      <protection locked="0"/>
    </xf>
    <xf numFmtId="0" fontId="12" fillId="0" borderId="1" xfId="0" applyNumberFormat="1" applyFont="1" applyFill="1" applyBorder="1" applyAlignment="1" applyProtection="1">
      <alignment horizontal="left" vertical="center" wrapText="1" indent="1"/>
      <protection locked="0"/>
    </xf>
    <xf numFmtId="166" fontId="12" fillId="0" borderId="13" xfId="0" applyNumberFormat="1" applyFont="1" applyFill="1" applyBorder="1" applyAlignment="1" applyProtection="1">
      <alignment horizontal="left" vertical="center" indent="1"/>
      <protection locked="0"/>
    </xf>
    <xf numFmtId="166" fontId="12" fillId="0" borderId="16" xfId="0" applyNumberFormat="1" applyFont="1" applyFill="1" applyBorder="1" applyAlignment="1" applyProtection="1">
      <alignment horizontal="left" vertical="center" indent="1"/>
      <protection locked="0"/>
    </xf>
    <xf numFmtId="166" fontId="12" fillId="0" borderId="70" xfId="0" applyNumberFormat="1" applyFont="1" applyFill="1" applyBorder="1" applyAlignment="1" applyProtection="1">
      <alignment horizontal="left" vertical="center" indent="1"/>
      <protection locked="0"/>
    </xf>
    <xf numFmtId="0" fontId="13" fillId="5" borderId="23" xfId="0" applyFont="1" applyFill="1"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25" xfId="0" applyBorder="1" applyAlignment="1" applyProtection="1">
      <alignment horizontal="center" vertical="center" wrapText="1"/>
    </xf>
    <xf numFmtId="0" fontId="0" fillId="0" borderId="191"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2" xfId="0" applyBorder="1" applyAlignment="1" applyProtection="1">
      <alignment horizontal="center" vertical="center" wrapText="1"/>
    </xf>
    <xf numFmtId="0" fontId="13" fillId="5" borderId="28" xfId="0" applyFont="1" applyFill="1" applyBorder="1" applyAlignment="1" applyProtection="1">
      <alignment horizontal="center" vertical="center" wrapText="1"/>
    </xf>
    <xf numFmtId="0" fontId="13" fillId="5" borderId="190" xfId="0" applyFont="1" applyFill="1" applyBorder="1" applyAlignment="1" applyProtection="1">
      <alignment horizontal="center" vertical="center" wrapText="1"/>
    </xf>
    <xf numFmtId="0" fontId="12" fillId="0" borderId="13" xfId="0" applyNumberFormat="1" applyFont="1" applyFill="1" applyBorder="1" applyAlignment="1" applyProtection="1">
      <alignment horizontal="left" vertical="center" wrapText="1" indent="1"/>
      <protection locked="0"/>
    </xf>
    <xf numFmtId="0" fontId="12" fillId="0" borderId="16" xfId="0" applyNumberFormat="1" applyFont="1" applyFill="1" applyBorder="1" applyAlignment="1" applyProtection="1">
      <alignment horizontal="left" vertical="center" wrapText="1" indent="1"/>
      <protection locked="0"/>
    </xf>
    <xf numFmtId="0" fontId="12" fillId="0" borderId="6" xfId="0" applyNumberFormat="1" applyFont="1" applyFill="1" applyBorder="1" applyAlignment="1" applyProtection="1">
      <alignment horizontal="left" vertical="center" wrapText="1" indent="1"/>
      <protection locked="0"/>
    </xf>
    <xf numFmtId="0" fontId="12" fillId="0" borderId="75" xfId="0" applyFont="1" applyFill="1" applyBorder="1" applyAlignment="1" applyProtection="1">
      <alignment horizontal="left" vertical="center" wrapText="1" indent="1"/>
      <protection locked="0"/>
    </xf>
    <xf numFmtId="0" fontId="12" fillId="0" borderId="157" xfId="0" applyFont="1" applyFill="1" applyBorder="1" applyAlignment="1" applyProtection="1">
      <alignment horizontal="left" vertical="center" wrapText="1" indent="1"/>
      <protection locked="0"/>
    </xf>
    <xf numFmtId="0" fontId="12" fillId="0" borderId="90" xfId="0" applyNumberFormat="1" applyFont="1" applyFill="1" applyBorder="1" applyAlignment="1" applyProtection="1">
      <alignment horizontal="left" vertical="center" wrapText="1" indent="1"/>
      <protection locked="0"/>
    </xf>
    <xf numFmtId="0" fontId="12" fillId="0" borderId="8" xfId="0" applyNumberFormat="1" applyFont="1" applyFill="1" applyBorder="1" applyAlignment="1" applyProtection="1">
      <alignment horizontal="left" vertical="center" wrapText="1" indent="1"/>
      <protection locked="0"/>
    </xf>
    <xf numFmtId="0" fontId="12" fillId="0" borderId="5" xfId="0" applyNumberFormat="1" applyFont="1" applyFill="1" applyBorder="1" applyAlignment="1" applyProtection="1">
      <alignment horizontal="left" vertical="center" wrapText="1" indent="1"/>
      <protection locked="0"/>
    </xf>
    <xf numFmtId="0" fontId="11" fillId="2" borderId="7"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15" fillId="3" borderId="188" xfId="0" applyFont="1" applyFill="1" applyBorder="1" applyAlignment="1" applyProtection="1">
      <alignment horizontal="left" vertical="center" indent="1"/>
      <protection locked="0"/>
    </xf>
    <xf numFmtId="0" fontId="15" fillId="3" borderId="88" xfId="0" applyFont="1" applyFill="1" applyBorder="1" applyAlignment="1" applyProtection="1">
      <alignment horizontal="left" vertical="center" indent="1"/>
      <protection locked="0"/>
    </xf>
    <xf numFmtId="0" fontId="15" fillId="3" borderId="89" xfId="0" applyFont="1" applyFill="1" applyBorder="1" applyAlignment="1" applyProtection="1">
      <alignment horizontal="left" vertical="center" indent="1"/>
      <protection locked="0"/>
    </xf>
    <xf numFmtId="0" fontId="8" fillId="0" borderId="0" xfId="0" applyFont="1" applyBorder="1" applyAlignment="1" applyProtection="1">
      <alignment horizontal="left" vertical="center" wrapText="1"/>
    </xf>
    <xf numFmtId="0" fontId="13" fillId="5" borderId="147" xfId="0" applyFont="1" applyFill="1" applyBorder="1" applyAlignment="1" applyProtection="1">
      <alignment horizontal="center" vertical="center" wrapText="1"/>
    </xf>
    <xf numFmtId="0" fontId="13" fillId="5" borderId="189" xfId="0" applyFont="1" applyFill="1" applyBorder="1" applyAlignment="1" applyProtection="1">
      <alignment horizontal="center" vertical="center" wrapText="1"/>
    </xf>
    <xf numFmtId="0" fontId="10" fillId="4" borderId="8" xfId="0" applyFont="1" applyFill="1" applyBorder="1" applyAlignment="1" applyProtection="1">
      <alignment horizontal="center" vertical="center"/>
    </xf>
    <xf numFmtId="0" fontId="10" fillId="4" borderId="91" xfId="0" applyFont="1" applyFill="1" applyBorder="1" applyAlignment="1" applyProtection="1">
      <alignment horizontal="center" vertical="center"/>
    </xf>
    <xf numFmtId="0" fontId="13" fillId="5" borderId="25" xfId="0" applyFont="1" applyFill="1" applyBorder="1" applyAlignment="1" applyProtection="1">
      <alignment horizontal="center" vertical="center" wrapText="1"/>
    </xf>
    <xf numFmtId="0" fontId="36" fillId="0" borderId="27" xfId="0" applyFont="1" applyBorder="1" applyAlignment="1" applyProtection="1">
      <alignment vertical="center" wrapText="1"/>
    </xf>
    <xf numFmtId="0" fontId="36" fillId="0" borderId="148" xfId="0" applyFont="1" applyBorder="1" applyAlignment="1" applyProtection="1">
      <alignment vertical="center" wrapText="1"/>
    </xf>
    <xf numFmtId="0" fontId="36" fillId="0" borderId="191" xfId="0" applyFont="1" applyBorder="1" applyAlignment="1" applyProtection="1">
      <alignment vertical="center" wrapText="1"/>
    </xf>
    <xf numFmtId="0" fontId="36" fillId="0" borderId="10" xfId="0" applyFont="1" applyBorder="1" applyAlignment="1" applyProtection="1">
      <alignment vertical="center" wrapText="1"/>
    </xf>
    <xf numFmtId="0" fontId="36" fillId="0" borderId="142" xfId="0" applyFont="1" applyBorder="1" applyAlignment="1" applyProtection="1">
      <alignment vertical="center" wrapText="1"/>
    </xf>
    <xf numFmtId="0" fontId="12" fillId="0" borderId="150" xfId="0" applyFont="1" applyFill="1" applyBorder="1" applyAlignment="1" applyProtection="1">
      <alignment horizontal="left" vertical="center" indent="1"/>
      <protection locked="0"/>
    </xf>
    <xf numFmtId="0" fontId="12" fillId="0" borderId="88" xfId="0" applyFont="1" applyFill="1" applyBorder="1" applyAlignment="1" applyProtection="1">
      <alignment horizontal="left" vertical="center" indent="1"/>
      <protection locked="0"/>
    </xf>
    <xf numFmtId="0" fontId="12" fillId="0" borderId="89" xfId="0" applyFont="1" applyFill="1" applyBorder="1" applyAlignment="1" applyProtection="1">
      <alignment horizontal="left" vertical="center" indent="1"/>
      <protection locked="0"/>
    </xf>
    <xf numFmtId="0" fontId="15" fillId="3" borderId="150" xfId="0" applyFont="1" applyFill="1" applyBorder="1" applyAlignment="1" applyProtection="1">
      <alignment horizontal="left" vertical="center" indent="1"/>
      <protection locked="0"/>
    </xf>
    <xf numFmtId="0" fontId="12" fillId="0" borderId="13" xfId="0" applyFont="1" applyFill="1" applyBorder="1" applyAlignment="1" applyProtection="1">
      <alignment horizontal="left" vertical="center" wrapText="1" indent="1"/>
      <protection locked="0"/>
    </xf>
    <xf numFmtId="0" fontId="12" fillId="0" borderId="16" xfId="0" applyFont="1" applyFill="1" applyBorder="1" applyAlignment="1" applyProtection="1">
      <alignment horizontal="left" vertical="center" wrapText="1" indent="1"/>
      <protection locked="0"/>
    </xf>
    <xf numFmtId="0" fontId="12" fillId="0" borderId="70" xfId="0" applyFont="1" applyFill="1" applyBorder="1" applyAlignment="1" applyProtection="1">
      <alignment horizontal="left" vertical="center" wrapText="1" indent="1"/>
      <protection locked="0"/>
    </xf>
    <xf numFmtId="0" fontId="11" fillId="2" borderId="49" xfId="0" applyFont="1" applyFill="1" applyBorder="1" applyAlignment="1" applyProtection="1">
      <alignment horizontal="left" vertical="center"/>
    </xf>
    <xf numFmtId="0" fontId="2" fillId="0" borderId="75" xfId="0" applyFont="1" applyBorder="1" applyAlignment="1" applyProtection="1">
      <alignment horizontal="center" vertical="center"/>
    </xf>
    <xf numFmtId="0" fontId="13" fillId="4" borderId="90" xfId="0" applyFont="1" applyFill="1" applyBorder="1" applyAlignment="1" applyProtection="1">
      <alignment horizontal="left" vertical="center" indent="1"/>
    </xf>
    <xf numFmtId="0" fontId="13" fillId="4" borderId="8" xfId="0" applyFont="1" applyFill="1" applyBorder="1" applyAlignment="1" applyProtection="1">
      <alignment horizontal="left" vertical="center" indent="1"/>
    </xf>
    <xf numFmtId="0" fontId="13" fillId="4" borderId="91" xfId="0" applyFont="1" applyFill="1" applyBorder="1" applyAlignment="1" applyProtection="1">
      <alignment horizontal="left" vertical="center" indent="1"/>
    </xf>
    <xf numFmtId="0" fontId="14" fillId="4" borderId="121" xfId="0" applyFont="1" applyFill="1" applyBorder="1" applyAlignment="1" applyProtection="1">
      <alignment vertical="center"/>
    </xf>
    <xf numFmtId="0" fontId="0" fillId="0" borderId="8" xfId="0" applyBorder="1" applyAlignment="1" applyProtection="1">
      <alignment vertical="center"/>
    </xf>
    <xf numFmtId="0" fontId="0" fillId="0" borderId="49" xfId="0" applyBorder="1" applyAlignment="1" applyProtection="1">
      <alignment vertical="center"/>
    </xf>
    <xf numFmtId="0" fontId="0" fillId="0" borderId="91" xfId="0" applyBorder="1" applyAlignment="1" applyProtection="1">
      <alignment vertical="center"/>
    </xf>
    <xf numFmtId="0" fontId="0" fillId="0" borderId="75" xfId="0" applyBorder="1" applyAlignment="1" applyProtection="1">
      <alignment horizontal="center" vertical="center"/>
    </xf>
    <xf numFmtId="0" fontId="13" fillId="5" borderId="27" xfId="0" applyFont="1" applyFill="1" applyBorder="1" applyAlignment="1" applyProtection="1">
      <alignment horizontal="center" vertical="center" wrapText="1"/>
    </xf>
    <xf numFmtId="0" fontId="13" fillId="5" borderId="54" xfId="0" applyFont="1" applyFill="1" applyBorder="1" applyAlignment="1" applyProtection="1">
      <alignment horizontal="center" vertical="center" wrapText="1"/>
    </xf>
    <xf numFmtId="0" fontId="13" fillId="5" borderId="13" xfId="0" applyFont="1" applyFill="1"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97" xfId="0" applyBorder="1" applyAlignment="1" applyProtection="1">
      <alignment horizontal="center" vertical="center" wrapText="1"/>
    </xf>
    <xf numFmtId="0" fontId="15" fillId="4" borderId="150" xfId="0" applyFont="1" applyFill="1" applyBorder="1" applyAlignment="1" applyProtection="1">
      <alignment horizontal="left" vertical="center" indent="1"/>
    </xf>
    <xf numFmtId="0" fontId="15" fillId="4" borderId="88" xfId="0" applyFont="1" applyFill="1" applyBorder="1" applyAlignment="1" applyProtection="1">
      <alignment horizontal="left" vertical="center" indent="1"/>
    </xf>
    <xf numFmtId="0" fontId="15" fillId="4" borderId="89" xfId="0" applyFont="1" applyFill="1" applyBorder="1" applyAlignment="1" applyProtection="1">
      <alignment horizontal="left" vertical="center" indent="1"/>
    </xf>
    <xf numFmtId="0" fontId="0" fillId="0" borderId="54" xfId="0" applyBorder="1" applyAlignment="1" applyProtection="1">
      <alignment horizontal="center" vertical="center" wrapText="1"/>
    </xf>
    <xf numFmtId="0" fontId="13" fillId="5" borderId="75" xfId="0" applyFont="1" applyFill="1" applyBorder="1" applyAlignment="1" applyProtection="1">
      <alignment horizontal="center" vertical="center" wrapText="1"/>
    </xf>
    <xf numFmtId="0" fontId="13" fillId="5" borderId="148" xfId="0" applyFont="1" applyFill="1" applyBorder="1" applyAlignment="1" applyProtection="1">
      <alignment horizontal="center" vertical="center" wrapText="1"/>
    </xf>
    <xf numFmtId="0" fontId="13" fillId="5" borderId="97" xfId="0" applyFont="1" applyFill="1" applyBorder="1" applyAlignment="1" applyProtection="1">
      <alignment horizontal="center" vertical="center" wrapText="1"/>
    </xf>
    <xf numFmtId="0" fontId="13" fillId="5" borderId="154" xfId="0" applyFont="1" applyFill="1" applyBorder="1" applyAlignment="1" applyProtection="1">
      <alignment horizontal="center" vertical="center" wrapText="1"/>
    </xf>
    <xf numFmtId="0" fontId="75" fillId="0" borderId="98" xfId="0" applyFont="1" applyFill="1" applyBorder="1" applyAlignment="1" applyProtection="1">
      <alignment vertical="center" wrapText="1"/>
      <protection locked="0"/>
    </xf>
    <xf numFmtId="0" fontId="2" fillId="0" borderId="103" xfId="0" applyFont="1" applyFill="1" applyBorder="1" applyAlignment="1" applyProtection="1">
      <alignment vertical="center"/>
      <protection locked="0"/>
    </xf>
    <xf numFmtId="0" fontId="2" fillId="0" borderId="123" xfId="0" applyFont="1" applyFill="1" applyBorder="1" applyAlignment="1" applyProtection="1">
      <alignment vertical="center"/>
      <protection locked="0"/>
    </xf>
    <xf numFmtId="0" fontId="12" fillId="0" borderId="0" xfId="0" applyFont="1" applyBorder="1" applyAlignment="1" applyProtection="1">
      <alignment horizontal="left" vertical="center" indent="1"/>
    </xf>
    <xf numFmtId="0" fontId="13" fillId="0" borderId="0" xfId="0" applyFont="1" applyFill="1" applyBorder="1" applyAlignment="1" applyProtection="1">
      <alignment vertical="center" wrapText="1"/>
    </xf>
    <xf numFmtId="0" fontId="0" fillId="0" borderId="0" xfId="0" applyFill="1" applyBorder="1" applyAlignment="1" applyProtection="1">
      <alignment vertical="center"/>
    </xf>
    <xf numFmtId="0" fontId="12" fillId="4" borderId="13" xfId="0" applyFont="1" applyFill="1" applyBorder="1" applyAlignment="1" applyProtection="1">
      <alignment horizontal="center" vertical="center" wrapText="1"/>
      <protection locked="0"/>
    </xf>
    <xf numFmtId="0" fontId="12" fillId="4" borderId="16" xfId="0" applyFont="1" applyFill="1" applyBorder="1" applyAlignment="1" applyProtection="1">
      <alignment horizontal="center" vertical="center" wrapText="1"/>
      <protection locked="0"/>
    </xf>
    <xf numFmtId="0" fontId="12" fillId="4" borderId="70" xfId="0" applyFont="1" applyFill="1" applyBorder="1" applyAlignment="1" applyProtection="1">
      <alignment horizontal="center" vertical="center" wrapText="1"/>
      <protection locked="0"/>
    </xf>
    <xf numFmtId="0" fontId="12" fillId="0" borderId="13" xfId="0" applyFont="1" applyFill="1" applyBorder="1" applyAlignment="1" applyProtection="1">
      <alignment vertical="center" wrapText="1"/>
      <protection locked="0"/>
    </xf>
    <xf numFmtId="0" fontId="12" fillId="0" borderId="16" xfId="0" applyFont="1" applyFill="1" applyBorder="1" applyAlignment="1" applyProtection="1">
      <alignment vertical="center" wrapText="1"/>
      <protection locked="0"/>
    </xf>
    <xf numFmtId="0" fontId="12" fillId="0" borderId="6" xfId="0" applyFont="1" applyFill="1" applyBorder="1" applyAlignment="1" applyProtection="1">
      <alignment vertical="center" wrapText="1"/>
      <protection locked="0"/>
    </xf>
    <xf numFmtId="0" fontId="52" fillId="0" borderId="11" xfId="0" applyFont="1" applyFill="1" applyBorder="1" applyAlignment="1" applyProtection="1">
      <alignment horizontal="left" wrapText="1"/>
    </xf>
    <xf numFmtId="0" fontId="4" fillId="0" borderId="0" xfId="0" applyFont="1" applyFill="1" applyBorder="1" applyAlignment="1" applyProtection="1">
      <alignment horizontal="left" wrapText="1"/>
    </xf>
    <xf numFmtId="0" fontId="17" fillId="0" borderId="11" xfId="0" applyFont="1" applyFill="1" applyBorder="1" applyAlignment="1" applyProtection="1">
      <alignment horizontal="left" vertical="center"/>
    </xf>
    <xf numFmtId="0" fontId="17" fillId="0" borderId="0" xfId="0" applyFont="1" applyFill="1" applyBorder="1" applyAlignment="1" applyProtection="1">
      <alignment horizontal="left" vertical="center"/>
    </xf>
    <xf numFmtId="0" fontId="13" fillId="0" borderId="121"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3" fillId="0" borderId="13" xfId="0" applyFont="1" applyFill="1" applyBorder="1" applyAlignment="1" applyProtection="1">
      <alignment horizontal="left" vertical="center" wrapText="1"/>
      <protection locked="0"/>
    </xf>
    <xf numFmtId="0" fontId="13" fillId="0" borderId="16" xfId="0" applyFont="1" applyFill="1" applyBorder="1" applyAlignment="1" applyProtection="1">
      <alignment horizontal="left" vertical="center" wrapText="1"/>
      <protection locked="0"/>
    </xf>
    <xf numFmtId="0" fontId="13" fillId="0" borderId="70" xfId="0" applyFont="1" applyFill="1" applyBorder="1" applyAlignment="1" applyProtection="1">
      <alignment horizontal="left" vertical="center" wrapText="1"/>
      <protection locked="0"/>
    </xf>
    <xf numFmtId="0" fontId="13" fillId="0" borderId="193" xfId="0" applyFont="1" applyFill="1" applyBorder="1" applyAlignment="1" applyProtection="1">
      <alignment horizontal="left" vertical="center" wrapText="1"/>
      <protection locked="0"/>
    </xf>
    <xf numFmtId="0" fontId="12" fillId="0" borderId="16" xfId="0" applyFont="1" applyFill="1" applyBorder="1" applyAlignment="1" applyProtection="1">
      <alignment horizontal="left" vertical="center" wrapText="1"/>
      <protection locked="0"/>
    </xf>
    <xf numFmtId="0" fontId="12" fillId="0" borderId="6" xfId="0" applyFont="1" applyFill="1" applyBorder="1" applyAlignment="1" applyProtection="1">
      <alignment horizontal="left" vertical="center" wrapText="1"/>
      <protection locked="0"/>
    </xf>
    <xf numFmtId="0" fontId="12" fillId="0" borderId="13" xfId="0" applyFont="1" applyFill="1" applyBorder="1" applyAlignment="1" applyProtection="1">
      <alignment horizontal="left" vertical="center" wrapText="1"/>
      <protection locked="0"/>
    </xf>
    <xf numFmtId="0" fontId="12" fillId="0" borderId="16" xfId="0" applyFont="1" applyFill="1" applyBorder="1" applyAlignment="1" applyProtection="1">
      <alignment horizontal="left" wrapText="1"/>
      <protection locked="0"/>
    </xf>
    <xf numFmtId="0" fontId="12" fillId="0" borderId="70" xfId="0" applyFont="1" applyFill="1" applyBorder="1" applyAlignment="1" applyProtection="1">
      <alignment horizontal="left" wrapText="1"/>
      <protection locked="0"/>
    </xf>
    <xf numFmtId="0" fontId="12" fillId="0" borderId="70" xfId="0" applyFont="1" applyFill="1" applyBorder="1" applyAlignment="1" applyProtection="1">
      <alignment horizontal="left" vertical="center" wrapText="1"/>
      <protection locked="0"/>
    </xf>
    <xf numFmtId="0" fontId="12" fillId="0" borderId="193" xfId="0" applyFont="1" applyFill="1" applyBorder="1" applyAlignment="1" applyProtection="1">
      <alignment horizontal="left" vertical="center" wrapText="1"/>
      <protection locked="0"/>
    </xf>
    <xf numFmtId="0" fontId="12" fillId="0" borderId="85" xfId="0" applyFont="1" applyFill="1" applyBorder="1" applyAlignment="1" applyProtection="1">
      <alignment vertical="center" wrapText="1"/>
      <protection locked="0"/>
    </xf>
    <xf numFmtId="0" fontId="12" fillId="0" borderId="85" xfId="0" applyFont="1" applyFill="1" applyBorder="1" applyAlignment="1" applyProtection="1">
      <alignment wrapText="1"/>
      <protection locked="0"/>
    </xf>
    <xf numFmtId="0" fontId="12" fillId="0" borderId="96" xfId="0" applyFont="1" applyFill="1" applyBorder="1" applyAlignment="1" applyProtection="1">
      <alignment wrapText="1"/>
      <protection locked="0"/>
    </xf>
    <xf numFmtId="0" fontId="13" fillId="0" borderId="94" xfId="0" applyFont="1" applyFill="1" applyBorder="1" applyAlignment="1" applyProtection="1">
      <alignment horizontal="left" vertical="center" wrapText="1"/>
    </xf>
    <xf numFmtId="0" fontId="23" fillId="0" borderId="85" xfId="0" applyFont="1" applyFill="1" applyBorder="1" applyAlignment="1" applyProtection="1">
      <alignment horizontal="left" vertical="center" wrapText="1"/>
    </xf>
    <xf numFmtId="0" fontId="17" fillId="2" borderId="11" xfId="0" applyFont="1" applyFill="1" applyBorder="1" applyAlignment="1" applyProtection="1">
      <alignment horizontal="left" vertical="center"/>
    </xf>
    <xf numFmtId="0" fontId="17" fillId="2" borderId="0" xfId="0" applyFont="1" applyFill="1" applyBorder="1" applyAlignment="1" applyProtection="1">
      <alignment horizontal="left" vertical="center"/>
    </xf>
    <xf numFmtId="0" fontId="13" fillId="0" borderId="93"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xf>
    <xf numFmtId="0" fontId="12" fillId="0" borderId="1" xfId="0" applyFont="1" applyFill="1" applyBorder="1" applyAlignment="1" applyProtection="1">
      <alignment vertical="center" wrapText="1"/>
      <protection locked="0"/>
    </xf>
    <xf numFmtId="0" fontId="12" fillId="0" borderId="1" xfId="0" applyFont="1" applyFill="1" applyBorder="1" applyAlignment="1" applyProtection="1">
      <alignment wrapText="1"/>
      <protection locked="0"/>
    </xf>
    <xf numFmtId="0" fontId="12" fillId="0" borderId="4" xfId="0" applyFont="1" applyFill="1" applyBorder="1" applyAlignment="1" applyProtection="1">
      <alignment wrapText="1"/>
      <protection locked="0"/>
    </xf>
    <xf numFmtId="0" fontId="0" fillId="0" borderId="16" xfId="0" applyFill="1" applyBorder="1" applyAlignment="1" applyProtection="1">
      <alignment horizontal="left" vertical="center" wrapText="1"/>
      <protection locked="0"/>
    </xf>
    <xf numFmtId="0" fontId="0" fillId="0" borderId="16" xfId="0" applyFill="1" applyBorder="1" applyAlignment="1" applyProtection="1">
      <alignment vertical="center" wrapText="1"/>
      <protection locked="0"/>
    </xf>
    <xf numFmtId="0" fontId="0" fillId="0" borderId="6" xfId="0" applyFill="1" applyBorder="1" applyAlignment="1" applyProtection="1">
      <alignment vertical="center" wrapText="1"/>
      <protection locked="0"/>
    </xf>
    <xf numFmtId="0" fontId="12" fillId="0" borderId="23" xfId="0" applyFont="1" applyFill="1" applyBorder="1" applyAlignment="1" applyProtection="1">
      <alignment horizontal="left" vertical="center" wrapText="1" indent="1"/>
      <protection locked="0"/>
    </xf>
    <xf numFmtId="0" fontId="12" fillId="0" borderId="27" xfId="0" applyFont="1" applyFill="1" applyBorder="1" applyAlignment="1" applyProtection="1">
      <alignment horizontal="left" vertical="center" wrapText="1" indent="1"/>
      <protection locked="0"/>
    </xf>
    <xf numFmtId="0" fontId="12" fillId="0" borderId="148" xfId="0" applyFont="1" applyFill="1" applyBorder="1" applyAlignment="1" applyProtection="1">
      <alignment horizontal="left" vertical="center" wrapText="1" indent="1"/>
      <protection locked="0"/>
    </xf>
    <xf numFmtId="0" fontId="4" fillId="0" borderId="100" xfId="0" applyFont="1" applyFill="1" applyBorder="1" applyAlignment="1" applyProtection="1">
      <alignment horizontal="left" vertical="center" wrapText="1" indent="1"/>
      <protection locked="0"/>
    </xf>
    <xf numFmtId="0" fontId="4" fillId="0" borderId="27" xfId="0" applyFont="1" applyFill="1" applyBorder="1" applyAlignment="1" applyProtection="1">
      <alignment horizontal="left" vertical="center" wrapText="1" indent="1"/>
      <protection locked="0"/>
    </xf>
    <xf numFmtId="0" fontId="4" fillId="0" borderId="25" xfId="0" applyFont="1" applyFill="1" applyBorder="1" applyAlignment="1" applyProtection="1">
      <alignment horizontal="left" vertical="center" wrapText="1" indent="1"/>
      <protection locked="0"/>
    </xf>
    <xf numFmtId="0" fontId="13" fillId="5" borderId="3" xfId="0" applyFont="1" applyFill="1" applyBorder="1" applyAlignment="1" applyProtection="1">
      <alignment horizontal="center" vertical="center" wrapText="1"/>
    </xf>
    <xf numFmtId="0" fontId="0" fillId="5" borderId="3" xfId="0" applyFill="1" applyBorder="1" applyAlignment="1" applyProtection="1"/>
    <xf numFmtId="0" fontId="0" fillId="5" borderId="12" xfId="0" applyFill="1" applyBorder="1" applyAlignment="1" applyProtection="1"/>
    <xf numFmtId="0" fontId="13" fillId="5" borderId="92" xfId="0" applyFont="1"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74" fillId="0" borderId="10" xfId="0" applyFont="1" applyFill="1" applyBorder="1" applyAlignment="1" applyProtection="1">
      <alignment horizontal="left" vertical="center"/>
    </xf>
    <xf numFmtId="0" fontId="73" fillId="0" borderId="10" xfId="0" applyFont="1" applyFill="1" applyBorder="1" applyAlignment="1" applyProtection="1">
      <alignment horizontal="left" vertical="center"/>
    </xf>
    <xf numFmtId="0" fontId="13" fillId="0" borderId="90" xfId="0" applyFont="1" applyFill="1" applyBorder="1" applyAlignment="1" applyProtection="1">
      <alignment horizontal="center" vertical="center" wrapText="1"/>
    </xf>
    <xf numFmtId="0" fontId="13" fillId="0" borderId="91" xfId="0" applyFont="1" applyFill="1" applyBorder="1" applyAlignment="1" applyProtection="1">
      <alignment horizontal="center" vertical="center" wrapText="1"/>
    </xf>
    <xf numFmtId="0" fontId="12" fillId="0" borderId="188" xfId="0" applyFont="1" applyFill="1" applyBorder="1" applyAlignment="1" applyProtection="1">
      <alignment horizontal="left" vertical="center" wrapText="1"/>
      <protection locked="0"/>
    </xf>
    <xf numFmtId="0" fontId="0" fillId="0" borderId="88" xfId="0" applyFill="1" applyBorder="1" applyAlignment="1" applyProtection="1">
      <alignment horizontal="left" vertical="center" wrapText="1"/>
      <protection locked="0"/>
    </xf>
    <xf numFmtId="0" fontId="0" fillId="0" borderId="88" xfId="0" applyFill="1" applyBorder="1" applyAlignment="1" applyProtection="1">
      <alignment vertical="center" wrapText="1"/>
      <protection locked="0"/>
    </xf>
    <xf numFmtId="0" fontId="0" fillId="0" borderId="152" xfId="0" applyFill="1" applyBorder="1" applyAlignment="1" applyProtection="1">
      <alignment vertical="center" wrapText="1"/>
      <protection locked="0"/>
    </xf>
    <xf numFmtId="0" fontId="12" fillId="0" borderId="150" xfId="0" applyFont="1" applyFill="1" applyBorder="1" applyAlignment="1" applyProtection="1">
      <alignment horizontal="left" vertical="center" wrapText="1"/>
      <protection locked="0"/>
    </xf>
    <xf numFmtId="0" fontId="12" fillId="0" borderId="88" xfId="0" applyFont="1" applyFill="1" applyBorder="1" applyAlignment="1" applyProtection="1">
      <alignment horizontal="left" vertical="center" wrapText="1"/>
      <protection locked="0"/>
    </xf>
    <xf numFmtId="0" fontId="12" fillId="0" borderId="89" xfId="0" applyFont="1" applyFill="1" applyBorder="1" applyAlignment="1" applyProtection="1">
      <alignment horizontal="left" vertical="center" wrapText="1"/>
      <protection locked="0"/>
    </xf>
    <xf numFmtId="0" fontId="12" fillId="0" borderId="17" xfId="0" applyFont="1" applyFill="1" applyBorder="1" applyAlignment="1" applyProtection="1">
      <alignment horizontal="left" vertical="center" wrapText="1" indent="1"/>
      <protection locked="0"/>
    </xf>
    <xf numFmtId="0" fontId="12" fillId="0" borderId="0" xfId="0" applyFont="1" applyFill="1" applyBorder="1" applyAlignment="1" applyProtection="1">
      <alignment horizontal="left" vertical="center" wrapText="1" indent="1"/>
      <protection locked="0"/>
    </xf>
    <xf numFmtId="0" fontId="12" fillId="0" borderId="117" xfId="0" applyFont="1" applyFill="1" applyBorder="1" applyAlignment="1" applyProtection="1">
      <alignment horizontal="left" vertical="center" wrapText="1" indent="1"/>
      <protection locked="0"/>
    </xf>
    <xf numFmtId="0" fontId="7" fillId="0" borderId="49" xfId="0" applyFont="1" applyFill="1" applyBorder="1" applyAlignment="1" applyProtection="1">
      <alignment horizontal="center"/>
    </xf>
    <xf numFmtId="0" fontId="13" fillId="5" borderId="90" xfId="0" applyFont="1" applyFill="1" applyBorder="1" applyAlignment="1" applyProtection="1">
      <alignment horizontal="center" vertical="center" wrapText="1"/>
    </xf>
    <xf numFmtId="0" fontId="13" fillId="5" borderId="8" xfId="0" applyFont="1" applyFill="1" applyBorder="1" applyAlignment="1" applyProtection="1">
      <alignment horizontal="center" vertical="center" wrapText="1"/>
    </xf>
    <xf numFmtId="0" fontId="13" fillId="5" borderId="91" xfId="0" applyFont="1" applyFill="1" applyBorder="1" applyAlignment="1" applyProtection="1">
      <alignment horizontal="center" vertical="center" wrapText="1"/>
    </xf>
    <xf numFmtId="0" fontId="13" fillId="5" borderId="121" xfId="0" applyFont="1" applyFill="1"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9" fillId="0" borderId="0" xfId="0" applyFont="1" applyFill="1" applyBorder="1" applyAlignment="1" applyProtection="1">
      <alignment horizontal="left" wrapText="1"/>
    </xf>
    <xf numFmtId="0" fontId="15" fillId="0" borderId="152" xfId="0" applyFont="1" applyFill="1" applyBorder="1" applyAlignment="1" applyProtection="1">
      <alignment horizontal="left" vertical="center" wrapText="1"/>
      <protection locked="0"/>
    </xf>
    <xf numFmtId="0" fontId="12" fillId="0" borderId="94" xfId="0" applyFont="1" applyFill="1" applyBorder="1" applyAlignment="1" applyProtection="1">
      <alignment horizontal="left" vertical="center" wrapText="1"/>
    </xf>
    <xf numFmtId="0" fontId="12" fillId="0" borderId="85" xfId="0" applyFont="1" applyFill="1" applyBorder="1" applyAlignment="1" applyProtection="1">
      <alignment horizontal="left" vertical="center" wrapText="1"/>
    </xf>
    <xf numFmtId="0" fontId="13" fillId="5" borderId="5" xfId="0" applyFont="1" applyFill="1" applyBorder="1" applyAlignment="1" applyProtection="1">
      <alignment horizontal="center" vertical="center" wrapText="1"/>
    </xf>
    <xf numFmtId="167" fontId="13" fillId="6" borderId="13" xfId="0" applyNumberFormat="1" applyFont="1" applyFill="1" applyBorder="1" applyAlignment="1" applyProtection="1">
      <alignment horizontal="right" vertical="center" wrapText="1"/>
    </xf>
    <xf numFmtId="167" fontId="13" fillId="6" borderId="6" xfId="0" applyNumberFormat="1" applyFont="1" applyFill="1" applyBorder="1" applyAlignment="1" applyProtection="1">
      <alignment horizontal="right" vertical="center" wrapText="1"/>
    </xf>
    <xf numFmtId="4" fontId="12" fillId="0" borderId="13" xfId="0" applyNumberFormat="1" applyFont="1" applyFill="1" applyBorder="1" applyAlignment="1" applyProtection="1">
      <alignment horizontal="left" vertical="center" wrapText="1"/>
      <protection locked="0"/>
    </xf>
    <xf numFmtId="0" fontId="15" fillId="0" borderId="6" xfId="0" applyFont="1" applyFill="1" applyBorder="1" applyAlignment="1" applyProtection="1">
      <alignment horizontal="left" vertical="center" wrapText="1"/>
      <protection locked="0"/>
    </xf>
    <xf numFmtId="0" fontId="15" fillId="0" borderId="93" xfId="0" applyFont="1" applyFill="1" applyBorder="1" applyAlignment="1" applyProtection="1">
      <alignment horizontal="left" vertical="center"/>
    </xf>
    <xf numFmtId="0" fontId="15" fillId="0" borderId="1" xfId="0" applyFont="1" applyFill="1" applyBorder="1" applyAlignment="1" applyProtection="1">
      <alignment horizontal="left" vertical="center"/>
    </xf>
    <xf numFmtId="0" fontId="12" fillId="0" borderId="193" xfId="0" applyFont="1" applyFill="1" applyBorder="1" applyAlignment="1" applyProtection="1">
      <alignment horizontal="left" vertical="center" wrapText="1"/>
    </xf>
    <xf numFmtId="0" fontId="12" fillId="0" borderId="6"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21" fillId="0" borderId="0" xfId="0" applyFont="1" applyAlignment="1" applyProtection="1">
      <alignment horizontal="left" wrapText="1"/>
    </xf>
    <xf numFmtId="0" fontId="6" fillId="0" borderId="0" xfId="0" applyFont="1" applyFill="1" applyBorder="1" applyAlignment="1" applyProtection="1">
      <alignment horizontal="left" vertical="center"/>
    </xf>
    <xf numFmtId="0" fontId="13" fillId="0" borderId="93" xfId="0" applyFont="1" applyFill="1" applyBorder="1" applyAlignment="1" applyProtection="1">
      <alignment horizontal="left" vertical="center"/>
    </xf>
    <xf numFmtId="0" fontId="13" fillId="0" borderId="1" xfId="0" applyFont="1" applyFill="1" applyBorder="1" applyAlignment="1" applyProtection="1">
      <alignment horizontal="left" vertical="center"/>
    </xf>
    <xf numFmtId="0" fontId="13" fillId="5" borderId="90" xfId="0" applyFont="1" applyFill="1" applyBorder="1" applyAlignment="1" applyProtection="1">
      <alignment horizontal="center" vertical="center"/>
    </xf>
    <xf numFmtId="0" fontId="13" fillId="5" borderId="5" xfId="0" applyFont="1" applyFill="1" applyBorder="1" applyAlignment="1" applyProtection="1">
      <alignment horizontal="center" vertical="center"/>
    </xf>
    <xf numFmtId="0" fontId="13" fillId="4" borderId="121" xfId="0" applyFont="1" applyFill="1" applyBorder="1" applyAlignment="1" applyProtection="1">
      <alignment horizontal="left" vertical="center" indent="1"/>
    </xf>
    <xf numFmtId="0" fontId="15" fillId="4" borderId="93" xfId="0" applyFont="1" applyFill="1" applyBorder="1" applyAlignment="1" applyProtection="1">
      <alignment horizontal="left" vertical="center" indent="1"/>
    </xf>
    <xf numFmtId="0" fontId="15" fillId="4" borderId="1" xfId="0" applyFont="1" applyFill="1" applyBorder="1" applyAlignment="1" applyProtection="1">
      <alignment horizontal="left" vertical="center" indent="1"/>
    </xf>
    <xf numFmtId="0" fontId="15" fillId="4" borderId="4" xfId="0" applyFont="1" applyFill="1" applyBorder="1" applyAlignment="1" applyProtection="1">
      <alignment horizontal="left" vertical="center" indent="1"/>
    </xf>
    <xf numFmtId="0" fontId="15" fillId="4" borderId="188" xfId="0" applyFont="1" applyFill="1" applyBorder="1" applyAlignment="1" applyProtection="1">
      <alignment horizontal="center" vertical="center"/>
    </xf>
    <xf numFmtId="0" fontId="15" fillId="4" borderId="88" xfId="0" applyFont="1" applyFill="1" applyBorder="1" applyAlignment="1" applyProtection="1">
      <alignment horizontal="center" vertical="center"/>
    </xf>
    <xf numFmtId="0" fontId="15" fillId="4" borderId="89" xfId="0" applyFont="1" applyFill="1" applyBorder="1" applyAlignment="1" applyProtection="1">
      <alignment horizontal="center" vertical="center"/>
    </xf>
    <xf numFmtId="0" fontId="15" fillId="6" borderId="13" xfId="0" applyFont="1" applyFill="1" applyBorder="1" applyAlignment="1" applyProtection="1">
      <alignment horizontal="left" vertical="center"/>
    </xf>
    <xf numFmtId="0" fontId="15" fillId="6" borderId="6" xfId="0" applyFont="1" applyFill="1" applyBorder="1" applyAlignment="1" applyProtection="1">
      <alignment horizontal="left" vertical="center"/>
    </xf>
    <xf numFmtId="49" fontId="2" fillId="0" borderId="196" xfId="11" applyNumberFormat="1" applyFont="1" applyBorder="1" applyAlignment="1" applyProtection="1">
      <alignment horizontal="center" wrapText="1"/>
      <protection locked="0"/>
    </xf>
    <xf numFmtId="49" fontId="2" fillId="0" borderId="138" xfId="11" applyNumberFormat="1" applyFont="1" applyBorder="1" applyAlignment="1" applyProtection="1">
      <alignment horizontal="center" wrapText="1"/>
      <protection locked="0"/>
    </xf>
    <xf numFmtId="49" fontId="2" fillId="0" borderId="197" xfId="11" applyNumberFormat="1" applyFont="1" applyBorder="1" applyAlignment="1" applyProtection="1">
      <alignment horizontal="center" wrapText="1"/>
      <protection locked="0"/>
    </xf>
    <xf numFmtId="3" fontId="13" fillId="10" borderId="98" xfId="0" applyNumberFormat="1" applyFont="1" applyFill="1" applyBorder="1" applyAlignment="1" applyProtection="1">
      <alignment horizontal="center" wrapText="1"/>
    </xf>
    <xf numFmtId="3" fontId="13" fillId="10" borderId="103" xfId="0" applyNumberFormat="1" applyFont="1" applyFill="1" applyBorder="1" applyAlignment="1" applyProtection="1">
      <alignment horizontal="center" wrapText="1"/>
    </xf>
    <xf numFmtId="3" fontId="13" fillId="10" borderId="123" xfId="0" applyNumberFormat="1" applyFont="1" applyFill="1" applyBorder="1" applyAlignment="1" applyProtection="1">
      <alignment horizontal="center" wrapText="1"/>
    </xf>
    <xf numFmtId="0" fontId="0" fillId="0" borderId="76" xfId="0" applyNumberFormat="1" applyBorder="1" applyAlignment="1" applyProtection="1">
      <alignment horizontal="left" vertical="top" wrapText="1"/>
      <protection locked="0"/>
    </xf>
    <xf numFmtId="0" fontId="0" fillId="0" borderId="49" xfId="0" applyNumberFormat="1" applyBorder="1" applyAlignment="1" applyProtection="1">
      <alignment horizontal="left" vertical="top" wrapText="1"/>
      <protection locked="0"/>
    </xf>
    <xf numFmtId="0" fontId="0" fillId="0" borderId="87" xfId="0" applyNumberFormat="1" applyBorder="1" applyAlignment="1" applyProtection="1">
      <alignment horizontal="left" vertical="top" wrapText="1"/>
      <protection locked="0"/>
    </xf>
    <xf numFmtId="0" fontId="0" fillId="0" borderId="11" xfId="0" applyNumberFormat="1" applyBorder="1" applyAlignment="1" applyProtection="1">
      <alignment horizontal="left" vertical="top" wrapText="1"/>
      <protection locked="0"/>
    </xf>
    <xf numFmtId="0" fontId="0" fillId="0" borderId="0" xfId="0" applyNumberFormat="1" applyBorder="1" applyAlignment="1" applyProtection="1">
      <alignment horizontal="left" vertical="top" wrapText="1"/>
      <protection locked="0"/>
    </xf>
    <xf numFmtId="0" fontId="0" fillId="0" borderId="117" xfId="0" applyNumberFormat="1" applyBorder="1" applyAlignment="1" applyProtection="1">
      <alignment horizontal="left" vertical="top" wrapText="1"/>
      <protection locked="0"/>
    </xf>
    <xf numFmtId="0" fontId="0" fillId="0" borderId="7" xfId="0" applyNumberFormat="1" applyBorder="1" applyAlignment="1" applyProtection="1">
      <alignment horizontal="left" vertical="top" wrapText="1"/>
      <protection locked="0"/>
    </xf>
    <xf numFmtId="0" fontId="0" fillId="0" borderId="10" xfId="0" applyNumberFormat="1" applyBorder="1" applyAlignment="1" applyProtection="1">
      <alignment horizontal="left" vertical="top" wrapText="1"/>
      <protection locked="0"/>
    </xf>
    <xf numFmtId="0" fontId="0" fillId="0" borderId="142" xfId="0" applyNumberFormat="1" applyBorder="1" applyAlignment="1" applyProtection="1">
      <alignment horizontal="left" vertical="top" wrapText="1"/>
      <protection locked="0"/>
    </xf>
    <xf numFmtId="0" fontId="13" fillId="10" borderId="98" xfId="0" applyFont="1" applyFill="1" applyBorder="1" applyAlignment="1" applyProtection="1">
      <alignment horizontal="center"/>
    </xf>
    <xf numFmtId="0" fontId="13" fillId="10" borderId="103" xfId="0" applyFont="1" applyFill="1" applyBorder="1" applyAlignment="1" applyProtection="1">
      <alignment horizontal="center"/>
    </xf>
    <xf numFmtId="0" fontId="13" fillId="10" borderId="123" xfId="0" applyFont="1" applyFill="1" applyBorder="1" applyAlignment="1" applyProtection="1">
      <alignment horizontal="center"/>
    </xf>
    <xf numFmtId="49" fontId="2" fillId="0" borderId="110" xfId="11" applyNumberFormat="1" applyFont="1" applyBorder="1" applyAlignment="1" applyProtection="1">
      <alignment horizontal="center" wrapText="1"/>
      <protection locked="0"/>
    </xf>
    <xf numFmtId="49" fontId="2" fillId="0" borderId="84" xfId="11" applyNumberFormat="1" applyFont="1" applyBorder="1" applyAlignment="1" applyProtection="1">
      <alignment horizontal="center" wrapText="1"/>
      <protection locked="0"/>
    </xf>
    <xf numFmtId="49" fontId="2" fillId="0" borderId="143" xfId="11" applyNumberFormat="1" applyFont="1" applyBorder="1" applyAlignment="1" applyProtection="1">
      <alignment horizontal="center" wrapText="1"/>
      <protection locked="0"/>
    </xf>
    <xf numFmtId="49" fontId="2" fillId="0" borderId="126" xfId="11" applyNumberFormat="1" applyFont="1" applyBorder="1" applyAlignment="1" applyProtection="1">
      <alignment horizontal="center" wrapText="1"/>
      <protection locked="0"/>
    </xf>
    <xf numFmtId="49" fontId="2" fillId="0" borderId="129" xfId="11" applyNumberFormat="1" applyFont="1" applyBorder="1" applyAlignment="1" applyProtection="1">
      <alignment horizontal="center" wrapText="1"/>
      <protection locked="0"/>
    </xf>
    <xf numFmtId="49" fontId="2" fillId="0" borderId="195" xfId="11" applyNumberFormat="1" applyFont="1" applyBorder="1" applyAlignment="1" applyProtection="1">
      <alignment horizontal="center" wrapText="1"/>
      <protection locked="0"/>
    </xf>
    <xf numFmtId="0" fontId="13" fillId="14" borderId="98" xfId="0" applyFont="1" applyFill="1" applyBorder="1" applyAlignment="1" applyProtection="1">
      <alignment horizontal="center"/>
    </xf>
    <xf numFmtId="0" fontId="13" fillId="14" borderId="103" xfId="0" applyFont="1" applyFill="1" applyBorder="1" applyAlignment="1" applyProtection="1">
      <alignment horizontal="center"/>
    </xf>
    <xf numFmtId="0" fontId="13" fillId="14" borderId="123" xfId="0" applyFont="1" applyFill="1" applyBorder="1" applyAlignment="1" applyProtection="1">
      <alignment horizontal="center"/>
    </xf>
    <xf numFmtId="0" fontId="65" fillId="4" borderId="98" xfId="0" applyFont="1" applyFill="1" applyBorder="1" applyAlignment="1" applyProtection="1">
      <alignment horizontal="left"/>
    </xf>
    <xf numFmtId="0" fontId="65" fillId="4" borderId="103" xfId="0" applyFont="1" applyFill="1" applyBorder="1" applyAlignment="1" applyProtection="1">
      <alignment horizontal="left"/>
    </xf>
    <xf numFmtId="0" fontId="65" fillId="4" borderId="123" xfId="0" applyFont="1" applyFill="1" applyBorder="1" applyAlignment="1" applyProtection="1">
      <alignment horizontal="left"/>
    </xf>
    <xf numFmtId="0" fontId="2" fillId="0" borderId="198" xfId="0" applyFont="1" applyBorder="1" applyAlignment="1" applyProtection="1">
      <alignment horizontal="left" indent="1"/>
    </xf>
    <xf numFmtId="0" fontId="2" fillId="0" borderId="138" xfId="0" applyFont="1" applyBorder="1" applyAlignment="1" applyProtection="1">
      <alignment horizontal="left" indent="1"/>
    </xf>
    <xf numFmtId="0" fontId="2" fillId="0" borderId="197" xfId="0" applyFont="1" applyBorder="1" applyAlignment="1" applyProtection="1">
      <alignment horizontal="left" indent="1"/>
    </xf>
    <xf numFmtId="0" fontId="66" fillId="11" borderId="98" xfId="0" applyFont="1" applyFill="1" applyBorder="1" applyAlignment="1" applyProtection="1">
      <alignment horizontal="center" vertical="center"/>
    </xf>
    <xf numFmtId="0" fontId="66" fillId="11" borderId="103" xfId="0" applyFont="1" applyFill="1" applyBorder="1" applyAlignment="1" applyProtection="1">
      <alignment horizontal="center" vertical="center"/>
    </xf>
    <xf numFmtId="0" fontId="13" fillId="4" borderId="98" xfId="0" applyFont="1" applyFill="1" applyBorder="1" applyAlignment="1" applyProtection="1">
      <alignment horizontal="center"/>
    </xf>
    <xf numFmtId="0" fontId="13" fillId="4" borderId="103" xfId="0" applyFont="1" applyFill="1" applyBorder="1" applyAlignment="1" applyProtection="1">
      <alignment horizontal="center"/>
    </xf>
    <xf numFmtId="0" fontId="13" fillId="4" borderId="105" xfId="0" applyFont="1" applyFill="1" applyBorder="1" applyAlignment="1" applyProtection="1">
      <alignment horizontal="center"/>
    </xf>
    <xf numFmtId="0" fontId="0" fillId="0" borderId="123" xfId="0" applyBorder="1" applyAlignment="1" applyProtection="1"/>
    <xf numFmtId="0" fontId="23" fillId="11" borderId="98" xfId="0" applyFont="1" applyFill="1" applyBorder="1" applyAlignment="1" applyProtection="1">
      <alignment horizontal="right" vertical="center"/>
    </xf>
    <xf numFmtId="0" fontId="0" fillId="0" borderId="103" xfId="0" applyBorder="1" applyAlignment="1" applyProtection="1"/>
    <xf numFmtId="0" fontId="0" fillId="0" borderId="17" xfId="0" applyFill="1" applyBorder="1" applyAlignment="1" applyProtection="1">
      <alignment horizontal="left" vertical="justify" wrapText="1"/>
    </xf>
    <xf numFmtId="0" fontId="0" fillId="0" borderId="0" xfId="0" applyFill="1" applyBorder="1" applyAlignment="1">
      <alignment horizontal="left" vertical="justify" wrapText="1"/>
    </xf>
    <xf numFmtId="0" fontId="0" fillId="0" borderId="9" xfId="0" applyFill="1" applyBorder="1" applyAlignment="1">
      <alignment horizontal="left" vertical="justify" wrapText="1"/>
    </xf>
    <xf numFmtId="0" fontId="0" fillId="0" borderId="17" xfId="0" applyFill="1" applyBorder="1" applyAlignment="1">
      <alignment horizontal="left" vertical="justify" wrapText="1"/>
    </xf>
    <xf numFmtId="0" fontId="0" fillId="0" borderId="97" xfId="0" applyFill="1" applyBorder="1" applyAlignment="1">
      <alignment horizontal="left" vertical="justify" wrapText="1"/>
    </xf>
    <xf numFmtId="0" fontId="0" fillId="0" borderId="54" xfId="0" applyFill="1" applyBorder="1" applyAlignment="1">
      <alignment horizontal="left" vertical="justify" wrapText="1"/>
    </xf>
    <xf numFmtId="0" fontId="0" fillId="0" borderId="199" xfId="0" applyFill="1" applyBorder="1" applyAlignment="1">
      <alignment horizontal="left" vertical="justify" wrapText="1"/>
    </xf>
    <xf numFmtId="0" fontId="13" fillId="4" borderId="7" xfId="0" applyFont="1" applyFill="1" applyBorder="1" applyAlignment="1" applyProtection="1">
      <alignment horizontal="center"/>
    </xf>
    <xf numFmtId="0" fontId="13" fillId="4" borderId="10" xfId="0" applyFont="1" applyFill="1" applyBorder="1" applyAlignment="1" applyProtection="1">
      <alignment horizontal="center"/>
    </xf>
    <xf numFmtId="0" fontId="13" fillId="4" borderId="104" xfId="0" applyFont="1" applyFill="1" applyBorder="1" applyAlignment="1" applyProtection="1">
      <alignment horizontal="center"/>
    </xf>
    <xf numFmtId="0" fontId="0" fillId="3" borderId="17" xfId="0" applyFill="1" applyBorder="1" applyAlignment="1" applyProtection="1">
      <alignment horizontal="left" vertical="justify" wrapText="1"/>
    </xf>
    <xf numFmtId="0" fontId="0" fillId="0" borderId="0" xfId="0" applyBorder="1" applyAlignment="1">
      <alignment horizontal="left" vertical="justify" wrapText="1"/>
    </xf>
    <xf numFmtId="0" fontId="0" fillId="0" borderId="9" xfId="0" applyBorder="1" applyAlignment="1">
      <alignment horizontal="left" vertical="justify" wrapText="1"/>
    </xf>
    <xf numFmtId="0" fontId="0" fillId="0" borderId="17" xfId="0" applyBorder="1" applyAlignment="1">
      <alignment horizontal="left" vertical="justify" wrapText="1"/>
    </xf>
    <xf numFmtId="0" fontId="0" fillId="0" borderId="97" xfId="0" applyBorder="1" applyAlignment="1">
      <alignment horizontal="left" vertical="justify" wrapText="1"/>
    </xf>
    <xf numFmtId="0" fontId="0" fillId="0" borderId="54" xfId="0" applyBorder="1" applyAlignment="1">
      <alignment horizontal="left" vertical="justify" wrapText="1"/>
    </xf>
    <xf numFmtId="0" fontId="0" fillId="0" borderId="199" xfId="0" applyBorder="1" applyAlignment="1">
      <alignment horizontal="left" vertical="justify" wrapText="1"/>
    </xf>
    <xf numFmtId="0" fontId="26" fillId="0" borderId="0" xfId="0" applyFont="1" applyAlignment="1" applyProtection="1">
      <alignment horizontal="left"/>
    </xf>
    <xf numFmtId="0" fontId="23" fillId="10" borderId="92" xfId="0" applyFont="1" applyFill="1" applyBorder="1" applyAlignment="1" applyProtection="1">
      <alignment horizontal="left"/>
    </xf>
    <xf numFmtId="0" fontId="23" fillId="10" borderId="3" xfId="0" applyFont="1" applyFill="1" applyBorder="1" applyAlignment="1" applyProtection="1">
      <alignment horizontal="left"/>
    </xf>
    <xf numFmtId="0" fontId="0" fillId="4" borderId="3" xfId="0" applyNumberFormat="1" applyFill="1" applyBorder="1" applyAlignment="1" applyProtection="1">
      <alignment horizontal="left" wrapText="1" indent="1"/>
    </xf>
    <xf numFmtId="0" fontId="0" fillId="4" borderId="12" xfId="0" applyNumberFormat="1" applyFill="1" applyBorder="1" applyAlignment="1" applyProtection="1">
      <alignment horizontal="left" wrapText="1" indent="1"/>
    </xf>
    <xf numFmtId="3" fontId="64" fillId="3" borderId="0" xfId="0" applyNumberFormat="1" applyFont="1" applyFill="1" applyAlignment="1" applyProtection="1">
      <alignment horizontal="center" wrapText="1"/>
    </xf>
    <xf numFmtId="0" fontId="0" fillId="0" borderId="0" xfId="0" applyAlignment="1" applyProtection="1">
      <alignment horizontal="center" wrapText="1"/>
    </xf>
    <xf numFmtId="0" fontId="23" fillId="10" borderId="93" xfId="0" applyFont="1" applyFill="1" applyBorder="1" applyAlignment="1" applyProtection="1">
      <alignment horizontal="left"/>
    </xf>
    <xf numFmtId="0" fontId="23" fillId="10" borderId="1" xfId="0" applyFont="1" applyFill="1" applyBorder="1" applyAlignment="1" applyProtection="1">
      <alignment horizontal="left"/>
    </xf>
    <xf numFmtId="0" fontId="0" fillId="4" borderId="1" xfId="0" applyFill="1" applyBorder="1" applyAlignment="1" applyProtection="1">
      <alignment horizontal="left" wrapText="1" indent="1"/>
    </xf>
    <xf numFmtId="0" fontId="0" fillId="4" borderId="4" xfId="0" applyFill="1" applyBorder="1" applyAlignment="1" applyProtection="1">
      <alignment horizontal="left" wrapText="1" indent="1"/>
    </xf>
    <xf numFmtId="0" fontId="2" fillId="0" borderId="111" xfId="0" applyFont="1" applyFill="1" applyBorder="1" applyAlignment="1" applyProtection="1">
      <alignment horizontal="left" indent="1"/>
    </xf>
    <xf numFmtId="0" fontId="2" fillId="0" borderId="84" xfId="0" applyFont="1" applyFill="1" applyBorder="1" applyAlignment="1" applyProtection="1">
      <alignment horizontal="left" indent="1"/>
    </xf>
    <xf numFmtId="0" fontId="2" fillId="0" borderId="143" xfId="0" applyFont="1" applyFill="1" applyBorder="1" applyAlignment="1" applyProtection="1">
      <alignment horizontal="left" indent="1"/>
    </xf>
    <xf numFmtId="0" fontId="23" fillId="10" borderId="94" xfId="0" applyFont="1" applyFill="1" applyBorder="1" applyAlignment="1" applyProtection="1">
      <alignment horizontal="left"/>
    </xf>
    <xf numFmtId="0" fontId="23" fillId="10" borderId="85" xfId="0" applyFont="1" applyFill="1" applyBorder="1" applyAlignment="1" applyProtection="1">
      <alignment horizontal="left"/>
    </xf>
    <xf numFmtId="0" fontId="0" fillId="3" borderId="85" xfId="0" applyFill="1" applyBorder="1" applyAlignment="1" applyProtection="1">
      <alignment horizontal="left" wrapText="1" indent="1"/>
      <protection locked="0"/>
    </xf>
    <xf numFmtId="0" fontId="0" fillId="3" borderId="96" xfId="0" applyFill="1" applyBorder="1" applyAlignment="1" applyProtection="1">
      <alignment horizontal="left" wrapText="1" indent="1"/>
      <protection locked="0"/>
    </xf>
    <xf numFmtId="0" fontId="2" fillId="0" borderId="111" xfId="0" applyFont="1" applyBorder="1" applyAlignment="1" applyProtection="1">
      <alignment horizontal="left" indent="1"/>
    </xf>
    <xf numFmtId="0" fontId="2" fillId="0" borderId="84" xfId="0" applyFont="1" applyBorder="1" applyAlignment="1" applyProtection="1">
      <alignment horizontal="left" indent="1"/>
    </xf>
    <xf numFmtId="0" fontId="2" fillId="0" borderId="143" xfId="0" applyFont="1" applyBorder="1" applyAlignment="1" applyProtection="1">
      <alignment horizontal="left" indent="1"/>
    </xf>
    <xf numFmtId="0" fontId="2" fillId="0" borderId="194" xfId="0" applyFont="1" applyBorder="1" applyAlignment="1" applyProtection="1">
      <alignment horizontal="left" indent="1"/>
    </xf>
    <xf numFmtId="0" fontId="2" fillId="0" borderId="129" xfId="0" applyFont="1" applyBorder="1" applyAlignment="1" applyProtection="1">
      <alignment horizontal="left" indent="1"/>
    </xf>
    <xf numFmtId="0" fontId="2" fillId="0" borderId="195" xfId="0" applyFont="1" applyBorder="1" applyAlignment="1" applyProtection="1">
      <alignment horizontal="left" indent="1"/>
    </xf>
    <xf numFmtId="0" fontId="13" fillId="10" borderId="0" xfId="0" applyFont="1" applyFill="1" applyBorder="1" applyAlignment="1" applyProtection="1">
      <alignment horizontal="center"/>
    </xf>
    <xf numFmtId="0" fontId="0" fillId="3" borderId="0" xfId="0" applyFill="1" applyBorder="1" applyAlignment="1" applyProtection="1">
      <alignment horizontal="left" wrapText="1" indent="1"/>
    </xf>
    <xf numFmtId="0" fontId="23" fillId="10" borderId="28" xfId="0" applyFont="1" applyFill="1" applyBorder="1" applyAlignment="1" applyProtection="1">
      <alignment horizontal="center" wrapText="1"/>
    </xf>
    <xf numFmtId="0" fontId="0" fillId="0" borderId="75" xfId="0" applyBorder="1" applyAlignment="1" applyProtection="1">
      <alignment horizontal="center"/>
    </xf>
    <xf numFmtId="0" fontId="23" fillId="3" borderId="0" xfId="0" applyFont="1" applyFill="1" applyBorder="1" applyAlignment="1" applyProtection="1">
      <alignment horizontal="left"/>
    </xf>
    <xf numFmtId="0" fontId="23" fillId="3" borderId="0" xfId="0" applyFont="1" applyFill="1" applyAlignment="1" applyProtection="1">
      <alignment horizontal="center" wrapText="1"/>
    </xf>
    <xf numFmtId="0" fontId="13" fillId="0" borderId="193" xfId="0" applyFont="1" applyFill="1" applyBorder="1" applyAlignment="1" applyProtection="1">
      <alignment horizontal="left" vertical="center"/>
    </xf>
    <xf numFmtId="0" fontId="13" fillId="0" borderId="6" xfId="0" applyFont="1" applyFill="1" applyBorder="1" applyAlignment="1" applyProtection="1">
      <alignment horizontal="left" vertical="center"/>
    </xf>
    <xf numFmtId="0" fontId="15" fillId="0" borderId="193" xfId="0" applyFont="1" applyFill="1" applyBorder="1" applyAlignment="1" applyProtection="1">
      <alignment horizontal="left" vertical="center"/>
    </xf>
    <xf numFmtId="0" fontId="15" fillId="0" borderId="6" xfId="0" applyFont="1" applyFill="1" applyBorder="1" applyAlignment="1" applyProtection="1">
      <alignment horizontal="left" vertical="center"/>
    </xf>
    <xf numFmtId="0" fontId="12" fillId="0" borderId="188" xfId="0" applyFont="1" applyFill="1" applyBorder="1" applyAlignment="1" applyProtection="1">
      <alignment horizontal="left" vertical="center" wrapText="1"/>
    </xf>
    <xf numFmtId="0" fontId="12" fillId="0" borderId="152" xfId="0" applyFont="1" applyFill="1" applyBorder="1" applyAlignment="1" applyProtection="1">
      <alignment horizontal="left" vertical="center" wrapText="1"/>
    </xf>
    <xf numFmtId="0" fontId="12" fillId="0" borderId="152" xfId="0" applyFont="1" applyFill="1" applyBorder="1" applyAlignment="1" applyProtection="1">
      <alignment horizontal="left" vertical="center" wrapText="1"/>
      <protection locked="0"/>
    </xf>
    <xf numFmtId="0" fontId="13" fillId="0" borderId="193" xfId="0" applyFont="1" applyFill="1" applyBorder="1" applyAlignment="1" applyProtection="1">
      <alignment horizontal="left" vertical="center" wrapText="1"/>
    </xf>
    <xf numFmtId="0" fontId="13" fillId="0" borderId="6" xfId="0" applyFont="1" applyFill="1" applyBorder="1" applyAlignment="1" applyProtection="1">
      <alignment horizontal="left" vertical="center" wrapText="1"/>
    </xf>
    <xf numFmtId="0" fontId="15" fillId="0" borderId="188" xfId="0" applyFont="1" applyFill="1" applyBorder="1" applyAlignment="1" applyProtection="1">
      <alignment horizontal="left" vertical="center"/>
    </xf>
    <xf numFmtId="0" fontId="15" fillId="0" borderId="152" xfId="0" applyFont="1" applyFill="1" applyBorder="1" applyAlignment="1" applyProtection="1">
      <alignment horizontal="left" vertical="center"/>
    </xf>
    <xf numFmtId="0" fontId="12" fillId="0" borderId="98" xfId="0" applyFont="1" applyFill="1" applyBorder="1" applyAlignment="1" applyProtection="1">
      <alignment horizontal="left" vertical="center" wrapText="1"/>
      <protection locked="0"/>
    </xf>
    <xf numFmtId="0" fontId="12" fillId="0" borderId="103" xfId="0" applyFont="1" applyFill="1" applyBorder="1" applyAlignment="1" applyProtection="1">
      <alignment horizontal="left" vertical="center" wrapText="1"/>
      <protection locked="0"/>
    </xf>
    <xf numFmtId="0" fontId="12" fillId="0" borderId="123" xfId="0" applyFont="1" applyFill="1" applyBorder="1" applyAlignment="1" applyProtection="1">
      <alignment horizontal="left" vertical="center" wrapText="1"/>
      <protection locked="0"/>
    </xf>
    <xf numFmtId="0" fontId="13" fillId="0" borderId="121" xfId="0" applyFont="1" applyFill="1" applyBorder="1" applyAlignment="1" applyProtection="1">
      <alignment horizontal="left" vertical="center" wrapText="1"/>
    </xf>
    <xf numFmtId="0" fontId="0" fillId="0" borderId="8" xfId="0" applyFill="1" applyBorder="1" applyProtection="1"/>
    <xf numFmtId="0" fontId="12" fillId="0" borderId="8" xfId="0" applyFont="1" applyFill="1" applyBorder="1" applyAlignment="1" applyProtection="1">
      <alignment horizontal="left" vertical="top" wrapText="1"/>
      <protection locked="0"/>
    </xf>
    <xf numFmtId="0" fontId="12" fillId="0" borderId="91" xfId="0" applyFont="1" applyFill="1" applyBorder="1" applyAlignment="1" applyProtection="1">
      <alignment horizontal="left" vertical="top" wrapText="1"/>
      <protection locked="0"/>
    </xf>
    <xf numFmtId="0" fontId="13" fillId="3" borderId="188" xfId="0" applyFont="1" applyFill="1" applyBorder="1" applyAlignment="1" applyProtection="1">
      <alignment horizontal="left" vertical="center" wrapText="1"/>
    </xf>
    <xf numFmtId="0" fontId="36" fillId="3" borderId="88" xfId="0" applyFont="1" applyFill="1" applyBorder="1" applyProtection="1"/>
    <xf numFmtId="0" fontId="12" fillId="0" borderId="88" xfId="0" applyFont="1" applyFill="1" applyBorder="1" applyAlignment="1" applyProtection="1">
      <alignment vertical="top" wrapText="1"/>
      <protection locked="0"/>
    </xf>
    <xf numFmtId="0" fontId="12" fillId="0" borderId="89" xfId="0" applyFont="1" applyFill="1" applyBorder="1" applyAlignment="1" applyProtection="1">
      <alignment vertical="top" wrapText="1"/>
      <protection locked="0"/>
    </xf>
    <xf numFmtId="0" fontId="13" fillId="3" borderId="10" xfId="0" applyFont="1" applyFill="1" applyBorder="1" applyAlignment="1" applyProtection="1"/>
    <xf numFmtId="0" fontId="13" fillId="0" borderId="200" xfId="0" applyFont="1" applyFill="1" applyBorder="1" applyAlignment="1" applyProtection="1">
      <alignment horizontal="center" vertical="center" wrapText="1"/>
    </xf>
    <xf numFmtId="0" fontId="13" fillId="0" borderId="122" xfId="0" applyFont="1" applyFill="1" applyBorder="1" applyAlignment="1" applyProtection="1">
      <alignment horizontal="center" vertical="center" wrapText="1"/>
    </xf>
    <xf numFmtId="0" fontId="13" fillId="0" borderId="156" xfId="0" applyFont="1" applyFill="1" applyBorder="1" applyAlignment="1" applyProtection="1">
      <alignment horizontal="center" vertical="center" wrapText="1"/>
    </xf>
    <xf numFmtId="0" fontId="6" fillId="3" borderId="10" xfId="0" applyFont="1" applyFill="1" applyBorder="1" applyAlignment="1" applyProtection="1">
      <alignment horizontal="left" vertical="center"/>
    </xf>
    <xf numFmtId="0" fontId="12" fillId="0" borderId="23"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12" fillId="0" borderId="97" xfId="0" applyFont="1" applyBorder="1" applyAlignment="1" applyProtection="1">
      <alignment horizontal="left" vertical="center"/>
      <protection locked="0"/>
    </xf>
    <xf numFmtId="0" fontId="12" fillId="0" borderId="54" xfId="0" applyFont="1" applyBorder="1" applyAlignment="1" applyProtection="1">
      <alignment horizontal="left" vertical="center"/>
      <protection locked="0"/>
    </xf>
    <xf numFmtId="0" fontId="21" fillId="0" borderId="53" xfId="0" applyFont="1" applyBorder="1" applyAlignment="1" applyProtection="1">
      <alignment horizontal="left" wrapText="1"/>
    </xf>
    <xf numFmtId="0" fontId="12" fillId="0" borderId="38" xfId="0" applyFont="1" applyFill="1" applyBorder="1" applyAlignment="1" applyProtection="1">
      <alignment horizontal="left" vertical="center" wrapText="1"/>
    </xf>
    <xf numFmtId="0" fontId="17" fillId="2" borderId="98" xfId="0" applyFont="1" applyFill="1" applyBorder="1" applyAlignment="1" applyProtection="1">
      <alignment horizontal="left"/>
    </xf>
    <xf numFmtId="0" fontId="17" fillId="2" borderId="103" xfId="0" applyFont="1" applyFill="1" applyBorder="1" applyAlignment="1" applyProtection="1">
      <alignment horizontal="left"/>
    </xf>
    <xf numFmtId="0" fontId="4" fillId="0" borderId="39" xfId="0" applyFont="1" applyFill="1" applyBorder="1" applyAlignment="1" applyProtection="1">
      <alignment horizontal="left" vertical="center"/>
    </xf>
    <xf numFmtId="0" fontId="9" fillId="0" borderId="50" xfId="0" applyFont="1" applyFill="1" applyBorder="1" applyAlignment="1" applyProtection="1">
      <alignment horizontal="left" vertical="center"/>
    </xf>
    <xf numFmtId="0" fontId="12" fillId="0" borderId="32" xfId="0" applyFont="1" applyFill="1" applyBorder="1" applyAlignment="1" applyProtection="1">
      <alignment horizontal="left"/>
    </xf>
    <xf numFmtId="0" fontId="12" fillId="0" borderId="38" xfId="0" applyFont="1" applyFill="1" applyBorder="1" applyAlignment="1" applyProtection="1">
      <alignment horizontal="left"/>
    </xf>
    <xf numFmtId="0" fontId="12" fillId="0" borderId="48" xfId="0" applyFont="1" applyFill="1" applyBorder="1" applyAlignment="1" applyProtection="1">
      <alignment horizontal="left"/>
    </xf>
    <xf numFmtId="0" fontId="91" fillId="0" borderId="67" xfId="0" applyFont="1" applyBorder="1" applyAlignment="1" applyProtection="1">
      <alignment horizontal="left" vertical="center" wrapText="1" indent="5"/>
    </xf>
    <xf numFmtId="0" fontId="91" fillId="0" borderId="35" xfId="0" applyFont="1" applyBorder="1" applyAlignment="1" applyProtection="1">
      <alignment horizontal="left" vertical="center" wrapText="1" indent="5"/>
    </xf>
    <xf numFmtId="0" fontId="91" fillId="0" borderId="51" xfId="0" applyFont="1" applyBorder="1" applyAlignment="1" applyProtection="1">
      <alignment horizontal="left" vertical="center" wrapText="1" indent="5"/>
    </xf>
    <xf numFmtId="0" fontId="91" fillId="0" borderId="11" xfId="0" applyFont="1" applyBorder="1" applyAlignment="1" applyProtection="1">
      <alignment horizontal="left" vertical="center" wrapText="1" indent="5"/>
    </xf>
    <xf numFmtId="0" fontId="91" fillId="0" borderId="0" xfId="0" applyFont="1" applyBorder="1" applyAlignment="1" applyProtection="1">
      <alignment horizontal="left" vertical="center" wrapText="1" indent="5"/>
    </xf>
    <xf numFmtId="0" fontId="91" fillId="0" borderId="68" xfId="0" applyFont="1" applyBorder="1" applyAlignment="1" applyProtection="1">
      <alignment horizontal="left" vertical="center" wrapText="1" indent="5"/>
    </xf>
    <xf numFmtId="0" fontId="91" fillId="0" borderId="201" xfId="0" applyFont="1" applyBorder="1" applyAlignment="1" applyProtection="1">
      <alignment horizontal="left" vertical="center" wrapText="1" indent="5"/>
    </xf>
    <xf numFmtId="0" fontId="91" fillId="0" borderId="53" xfId="0" applyFont="1" applyBorder="1" applyAlignment="1" applyProtection="1">
      <alignment horizontal="left" vertical="center" wrapText="1" indent="5"/>
    </xf>
    <xf numFmtId="0" fontId="91" fillId="0" borderId="65" xfId="0" applyFont="1" applyBorder="1" applyAlignment="1" applyProtection="1">
      <alignment horizontal="left" vertical="center" wrapText="1" indent="5"/>
    </xf>
    <xf numFmtId="0" fontId="15" fillId="4" borderId="98" xfId="0" applyFont="1" applyFill="1" applyBorder="1" applyAlignment="1" applyProtection="1">
      <alignment horizontal="center" vertical="center"/>
    </xf>
    <xf numFmtId="0" fontId="15" fillId="4" borderId="103" xfId="0" applyFont="1" applyFill="1" applyBorder="1" applyAlignment="1" applyProtection="1">
      <alignment horizontal="center" vertical="center"/>
    </xf>
    <xf numFmtId="0" fontId="15" fillId="4" borderId="123" xfId="0" applyFont="1" applyFill="1" applyBorder="1" applyAlignment="1" applyProtection="1">
      <alignment horizontal="center" vertical="center"/>
    </xf>
    <xf numFmtId="0" fontId="12" fillId="0" borderId="27" xfId="0" applyFont="1" applyFill="1" applyBorder="1" applyAlignment="1" applyProtection="1">
      <alignment horizontal="left" vertical="center" wrapText="1"/>
    </xf>
    <xf numFmtId="0" fontId="12" fillId="0" borderId="54" xfId="0" applyFont="1" applyFill="1" applyBorder="1" applyAlignment="1" applyProtection="1">
      <alignment horizontal="left" vertical="center" wrapText="1"/>
    </xf>
    <xf numFmtId="0" fontId="13" fillId="0" borderId="0" xfId="0" applyFont="1" applyFill="1" applyBorder="1" applyAlignment="1" applyProtection="1">
      <alignment horizontal="left" wrapText="1"/>
    </xf>
    <xf numFmtId="0" fontId="2" fillId="0" borderId="68" xfId="0" applyFont="1" applyBorder="1" applyAlignment="1">
      <alignment wrapText="1"/>
    </xf>
    <xf numFmtId="0" fontId="17" fillId="2" borderId="123" xfId="0" applyFont="1" applyFill="1" applyBorder="1" applyAlignment="1" applyProtection="1">
      <alignment horizontal="left"/>
    </xf>
    <xf numFmtId="0" fontId="11" fillId="0" borderId="50" xfId="0" applyFont="1" applyFill="1" applyBorder="1" applyAlignment="1" applyProtection="1">
      <alignment horizontal="center"/>
    </xf>
    <xf numFmtId="0" fontId="11" fillId="0" borderId="49" xfId="0" applyFont="1" applyFill="1" applyBorder="1" applyAlignment="1" applyProtection="1">
      <alignment horizontal="center"/>
    </xf>
    <xf numFmtId="0" fontId="12" fillId="0" borderId="13" xfId="0" applyFont="1" applyBorder="1" applyAlignment="1" applyProtection="1">
      <alignment horizontal="left"/>
      <protection locked="0"/>
    </xf>
    <xf numFmtId="0" fontId="12" fillId="0" borderId="16" xfId="0" applyFont="1" applyBorder="1" applyAlignment="1" applyProtection="1">
      <alignment horizontal="left"/>
      <protection locked="0"/>
    </xf>
    <xf numFmtId="0" fontId="12" fillId="0" borderId="6" xfId="0" applyFont="1" applyBorder="1" applyAlignment="1" applyProtection="1">
      <alignment horizontal="left"/>
      <protection locked="0"/>
    </xf>
    <xf numFmtId="0" fontId="12" fillId="0" borderId="76" xfId="0" applyFont="1" applyBorder="1" applyAlignment="1" applyProtection="1">
      <alignment vertical="top" wrapText="1"/>
      <protection locked="0"/>
    </xf>
    <xf numFmtId="0" fontId="12" fillId="0" borderId="49" xfId="0" applyFont="1" applyBorder="1" applyAlignment="1" applyProtection="1">
      <alignment vertical="top" wrapText="1"/>
      <protection locked="0"/>
    </xf>
    <xf numFmtId="0" fontId="12" fillId="0" borderId="87"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10" xfId="0" applyFont="1" applyBorder="1" applyAlignment="1" applyProtection="1">
      <alignment vertical="top" wrapText="1"/>
      <protection locked="0"/>
    </xf>
    <xf numFmtId="0" fontId="12" fillId="0" borderId="142" xfId="0" applyFont="1" applyBorder="1" applyAlignment="1" applyProtection="1">
      <alignment vertical="top" wrapText="1"/>
      <protection locked="0"/>
    </xf>
    <xf numFmtId="0" fontId="12" fillId="3" borderId="47" xfId="0" quotePrefix="1" applyFont="1" applyFill="1" applyBorder="1" applyAlignment="1" applyProtection="1">
      <alignment horizontal="left" wrapText="1"/>
    </xf>
    <xf numFmtId="0" fontId="12" fillId="3" borderId="35" xfId="0" quotePrefix="1" applyFont="1" applyFill="1" applyBorder="1" applyAlignment="1" applyProtection="1">
      <alignment horizontal="left" wrapText="1"/>
    </xf>
    <xf numFmtId="0" fontId="12" fillId="3" borderId="51" xfId="0" quotePrefix="1" applyFont="1" applyFill="1" applyBorder="1" applyAlignment="1" applyProtection="1">
      <alignment horizontal="left" wrapText="1"/>
    </xf>
    <xf numFmtId="0" fontId="12" fillId="0" borderId="45" xfId="0" applyFont="1" applyFill="1" applyBorder="1" applyAlignment="1" applyProtection="1">
      <alignment horizontal="center" vertical="center"/>
    </xf>
    <xf numFmtId="0" fontId="12" fillId="0" borderId="34" xfId="0" applyFont="1" applyFill="1" applyBorder="1" applyAlignment="1" applyProtection="1">
      <alignment horizontal="center" vertical="center"/>
    </xf>
    <xf numFmtId="0" fontId="12" fillId="3" borderId="47" xfId="0" applyFont="1" applyFill="1" applyBorder="1" applyAlignment="1" applyProtection="1">
      <alignment horizontal="center"/>
    </xf>
    <xf numFmtId="0" fontId="12" fillId="3" borderId="35" xfId="0" applyFont="1" applyFill="1" applyBorder="1" applyAlignment="1" applyProtection="1">
      <alignment horizontal="center"/>
    </xf>
    <xf numFmtId="0" fontId="17" fillId="20" borderId="17" xfId="0" applyFont="1" applyFill="1" applyBorder="1" applyAlignment="1" applyProtection="1">
      <alignment horizontal="left" vertical="center"/>
    </xf>
    <xf numFmtId="0" fontId="17" fillId="20" borderId="0" xfId="0" applyFont="1" applyFill="1" applyBorder="1" applyAlignment="1" applyProtection="1">
      <alignment horizontal="left" vertical="center"/>
    </xf>
    <xf numFmtId="0" fontId="12" fillId="3" borderId="23" xfId="0" applyFont="1" applyFill="1" applyBorder="1" applyAlignment="1" applyProtection="1">
      <alignment horizontal="left" vertical="center" wrapText="1"/>
      <protection locked="0"/>
    </xf>
    <xf numFmtId="0" fontId="12" fillId="3" borderId="27" xfId="0" applyFont="1" applyFill="1" applyBorder="1" applyAlignment="1" applyProtection="1">
      <alignment horizontal="left" vertical="center" wrapText="1"/>
      <protection locked="0"/>
    </xf>
    <xf numFmtId="0" fontId="12" fillId="3" borderId="25" xfId="0" applyFont="1" applyFill="1" applyBorder="1" applyAlignment="1" applyProtection="1">
      <alignment horizontal="left" vertical="center" wrapText="1"/>
      <protection locked="0"/>
    </xf>
    <xf numFmtId="0" fontId="12" fillId="3" borderId="17" xfId="0" applyFont="1" applyFill="1" applyBorder="1" applyAlignment="1" applyProtection="1">
      <alignment horizontal="left" vertical="center" wrapText="1"/>
      <protection locked="0"/>
    </xf>
    <xf numFmtId="0" fontId="12" fillId="3" borderId="0" xfId="0" applyFont="1" applyFill="1" applyBorder="1" applyAlignment="1" applyProtection="1">
      <alignment horizontal="left" vertical="center" wrapText="1"/>
      <protection locked="0"/>
    </xf>
    <xf numFmtId="0" fontId="12" fillId="3" borderId="9" xfId="0" applyFont="1" applyFill="1" applyBorder="1" applyAlignment="1" applyProtection="1">
      <alignment horizontal="left" vertical="center" wrapText="1"/>
      <protection locked="0"/>
    </xf>
    <xf numFmtId="0" fontId="12" fillId="3" borderId="97" xfId="0" applyFont="1" applyFill="1" applyBorder="1" applyAlignment="1" applyProtection="1">
      <alignment horizontal="left" vertical="center" wrapText="1"/>
      <protection locked="0"/>
    </xf>
    <xf numFmtId="0" fontId="12" fillId="3" borderId="54" xfId="0" applyFont="1" applyFill="1" applyBorder="1" applyAlignment="1" applyProtection="1">
      <alignment horizontal="left" vertical="center" wrapText="1"/>
      <protection locked="0"/>
    </xf>
    <xf numFmtId="0" fontId="12" fillId="3" borderId="199" xfId="0" applyFont="1" applyFill="1" applyBorder="1" applyAlignment="1" applyProtection="1">
      <alignment horizontal="left" vertical="center" wrapText="1"/>
      <protection locked="0"/>
    </xf>
    <xf numFmtId="0" fontId="12" fillId="0" borderId="23" xfId="0" applyFont="1" applyFill="1" applyBorder="1" applyAlignment="1" applyProtection="1">
      <alignment horizontal="left" vertical="center" wrapText="1"/>
      <protection locked="0"/>
    </xf>
    <xf numFmtId="0" fontId="12" fillId="0" borderId="27" xfId="0" applyFont="1" applyFill="1" applyBorder="1" applyAlignment="1" applyProtection="1">
      <alignment horizontal="left" vertical="center" wrapText="1"/>
      <protection locked="0"/>
    </xf>
    <xf numFmtId="0" fontId="12" fillId="0" borderId="25" xfId="0" applyFont="1" applyFill="1" applyBorder="1" applyAlignment="1" applyProtection="1">
      <alignment horizontal="left" vertical="center" wrapText="1"/>
      <protection locked="0"/>
    </xf>
    <xf numFmtId="0" fontId="12" fillId="0" borderId="17"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locked="0"/>
    </xf>
    <xf numFmtId="0" fontId="12" fillId="0" borderId="9" xfId="0" applyFont="1" applyFill="1" applyBorder="1" applyAlignment="1" applyProtection="1">
      <alignment horizontal="left" vertical="center" wrapText="1"/>
      <protection locked="0"/>
    </xf>
    <xf numFmtId="0" fontId="12" fillId="0" borderId="97" xfId="0" applyFont="1" applyFill="1" applyBorder="1" applyAlignment="1" applyProtection="1">
      <alignment horizontal="left" vertical="center" wrapText="1"/>
      <protection locked="0"/>
    </xf>
    <xf numFmtId="0" fontId="12" fillId="0" borderId="54" xfId="0" applyFont="1" applyFill="1" applyBorder="1" applyAlignment="1" applyProtection="1">
      <alignment horizontal="left" vertical="center" wrapText="1"/>
      <protection locked="0"/>
    </xf>
    <xf numFmtId="0" fontId="12" fillId="0" borderId="199" xfId="0" applyFont="1" applyFill="1" applyBorder="1" applyAlignment="1" applyProtection="1">
      <alignment horizontal="left" vertical="center" wrapText="1"/>
      <protection locked="0"/>
    </xf>
    <xf numFmtId="2" fontId="44" fillId="0" borderId="54" xfId="0" applyNumberFormat="1" applyFont="1" applyFill="1" applyBorder="1" applyAlignment="1" applyProtection="1">
      <alignment horizontal="left" vertical="center" wrapText="1" indent="2"/>
    </xf>
    <xf numFmtId="2" fontId="54" fillId="0" borderId="54" xfId="0" applyNumberFormat="1" applyFont="1" applyFill="1" applyBorder="1" applyAlignment="1" applyProtection="1">
      <alignment horizontal="left" vertical="center" wrapText="1" indent="2"/>
    </xf>
    <xf numFmtId="0" fontId="17" fillId="20" borderId="17" xfId="0" applyFont="1" applyFill="1" applyBorder="1" applyAlignment="1" applyProtection="1">
      <alignment horizontal="left"/>
    </xf>
    <xf numFmtId="0" fontId="17" fillId="20" borderId="0" xfId="0" applyFont="1" applyFill="1" applyBorder="1" applyAlignment="1" applyProtection="1">
      <alignment horizontal="left"/>
    </xf>
    <xf numFmtId="0" fontId="17" fillId="2" borderId="11" xfId="0" applyFont="1" applyFill="1" applyBorder="1" applyAlignment="1" applyProtection="1">
      <alignment horizontal="left"/>
    </xf>
    <xf numFmtId="0" fontId="17" fillId="2" borderId="0" xfId="0" applyFont="1" applyFill="1" applyBorder="1" applyAlignment="1" applyProtection="1">
      <alignment horizontal="left"/>
    </xf>
    <xf numFmtId="0" fontId="15" fillId="0" borderId="0" xfId="0" applyFont="1" applyAlignment="1" applyProtection="1">
      <alignment horizontal="left" wrapText="1"/>
    </xf>
    <xf numFmtId="0" fontId="12" fillId="0" borderId="54" xfId="0" applyFont="1" applyBorder="1" applyAlignment="1" applyProtection="1">
      <alignment horizontal="left" indent="1"/>
      <protection locked="0"/>
    </xf>
    <xf numFmtId="0" fontId="13" fillId="0" borderId="54" xfId="0" applyFont="1" applyFill="1" applyBorder="1" applyAlignment="1" applyProtection="1">
      <alignment horizontal="left"/>
      <protection locked="0"/>
    </xf>
    <xf numFmtId="0" fontId="11" fillId="2" borderId="76" xfId="0" applyFont="1" applyFill="1" applyBorder="1" applyAlignment="1" applyProtection="1">
      <alignment horizontal="left"/>
    </xf>
    <xf numFmtId="0" fontId="11" fillId="2" borderId="192" xfId="0" applyFont="1" applyFill="1" applyBorder="1" applyAlignment="1" applyProtection="1">
      <alignment horizontal="left"/>
    </xf>
    <xf numFmtId="0" fontId="11" fillId="2" borderId="11" xfId="0" applyFont="1" applyFill="1" applyBorder="1" applyAlignment="1" applyProtection="1">
      <alignment horizontal="left"/>
    </xf>
    <xf numFmtId="0" fontId="11" fillId="2" borderId="9" xfId="0" applyFont="1" applyFill="1" applyBorder="1" applyAlignment="1" applyProtection="1">
      <alignment horizontal="left"/>
    </xf>
    <xf numFmtId="0" fontId="12" fillId="0" borderId="0" xfId="0" applyFont="1" applyFill="1" applyBorder="1" applyAlignment="1" applyProtection="1">
      <alignment horizontal="left" wrapText="1"/>
    </xf>
    <xf numFmtId="0" fontId="15" fillId="0" borderId="0" xfId="0" applyFont="1" applyFill="1" applyBorder="1" applyAlignment="1" applyProtection="1">
      <alignment horizontal="left" wrapText="1"/>
    </xf>
    <xf numFmtId="166" fontId="15" fillId="4" borderId="1" xfId="0" applyNumberFormat="1" applyFont="1" applyFill="1" applyBorder="1" applyAlignment="1" applyProtection="1">
      <alignment horizontal="left" indent="1"/>
    </xf>
    <xf numFmtId="166" fontId="15" fillId="4" borderId="4" xfId="0" applyNumberFormat="1" applyFont="1" applyFill="1" applyBorder="1" applyAlignment="1" applyProtection="1">
      <alignment horizontal="left" indent="1"/>
    </xf>
    <xf numFmtId="0" fontId="52" fillId="0" borderId="0" xfId="0" applyFont="1" applyBorder="1" applyAlignment="1" applyProtection="1">
      <alignment wrapText="1"/>
    </xf>
    <xf numFmtId="0" fontId="53" fillId="0" borderId="0" xfId="0" applyFont="1" applyBorder="1" applyAlignment="1" applyProtection="1">
      <alignment wrapText="1"/>
    </xf>
    <xf numFmtId="0" fontId="53" fillId="0" borderId="0" xfId="0" applyFont="1" applyFill="1" applyBorder="1" applyAlignment="1" applyProtection="1">
      <alignment wrapText="1"/>
    </xf>
    <xf numFmtId="165" fontId="53" fillId="0" borderId="0" xfId="1" applyNumberFormat="1" applyFont="1" applyBorder="1" applyAlignment="1" applyProtection="1">
      <alignment wrapText="1"/>
    </xf>
    <xf numFmtId="0" fontId="15" fillId="4" borderId="3" xfId="0" applyFont="1" applyFill="1" applyBorder="1" applyAlignment="1" applyProtection="1">
      <alignment horizontal="left" indent="1"/>
    </xf>
    <xf numFmtId="0" fontId="15" fillId="4" borderId="12" xfId="0" applyFont="1" applyFill="1" applyBorder="1" applyAlignment="1" applyProtection="1">
      <alignment horizontal="left" indent="1"/>
    </xf>
    <xf numFmtId="0" fontId="11" fillId="2" borderId="7" xfId="0" applyFont="1" applyFill="1" applyBorder="1" applyAlignment="1" applyProtection="1">
      <alignment horizontal="left"/>
    </xf>
    <xf numFmtId="0" fontId="11" fillId="2" borderId="2" xfId="0" applyFont="1" applyFill="1" applyBorder="1" applyAlignment="1" applyProtection="1">
      <alignment horizontal="left"/>
    </xf>
    <xf numFmtId="0" fontId="9" fillId="0" borderId="54" xfId="0" applyFont="1" applyBorder="1" applyAlignment="1" applyProtection="1">
      <alignment horizontal="left" indent="1"/>
      <protection locked="0"/>
    </xf>
    <xf numFmtId="0" fontId="15" fillId="4" borderId="85" xfId="0" applyFont="1" applyFill="1" applyBorder="1" applyAlignment="1" applyProtection="1">
      <alignment horizontal="left" indent="1"/>
    </xf>
    <xf numFmtId="0" fontId="15" fillId="4" borderId="96" xfId="0" applyFont="1" applyFill="1" applyBorder="1" applyAlignment="1" applyProtection="1">
      <alignment horizontal="left" indent="1"/>
    </xf>
    <xf numFmtId="0" fontId="15" fillId="4" borderId="1" xfId="0" applyFont="1" applyFill="1" applyBorder="1" applyAlignment="1" applyProtection="1">
      <alignment horizontal="left" indent="1"/>
    </xf>
    <xf numFmtId="0" fontId="15" fillId="4" borderId="4" xfId="0" applyFont="1" applyFill="1" applyBorder="1" applyAlignment="1" applyProtection="1">
      <alignment horizontal="left" indent="1"/>
    </xf>
    <xf numFmtId="0" fontId="13" fillId="4" borderId="1" xfId="0" applyFont="1" applyFill="1" applyBorder="1" applyAlignment="1" applyProtection="1">
      <alignment horizontal="left" indent="1"/>
    </xf>
    <xf numFmtId="0" fontId="13" fillId="4" borderId="4" xfId="0" applyFont="1" applyFill="1" applyBorder="1" applyAlignment="1" applyProtection="1">
      <alignment horizontal="left" indent="1"/>
    </xf>
    <xf numFmtId="0" fontId="15" fillId="4" borderId="13" xfId="0" applyFont="1" applyFill="1" applyBorder="1" applyAlignment="1" applyProtection="1">
      <alignment horizontal="left" vertical="center" indent="1"/>
    </xf>
    <xf numFmtId="0" fontId="15" fillId="4" borderId="16" xfId="0" applyFont="1" applyFill="1" applyBorder="1" applyAlignment="1" applyProtection="1">
      <alignment horizontal="left" vertical="center" indent="1"/>
    </xf>
    <xf numFmtId="0" fontId="15" fillId="4" borderId="70" xfId="0" applyFont="1" applyFill="1" applyBorder="1" applyAlignment="1" applyProtection="1">
      <alignment horizontal="left" vertical="center" indent="1"/>
    </xf>
    <xf numFmtId="0" fontId="21" fillId="3" borderId="0" xfId="13" applyFont="1" applyFill="1" applyAlignment="1" applyProtection="1">
      <alignment horizontal="left" wrapText="1"/>
    </xf>
    <xf numFmtId="0" fontId="52" fillId="3" borderId="0" xfId="13" applyFont="1" applyFill="1" applyAlignment="1" applyProtection="1">
      <alignment horizontal="left" wrapText="1"/>
    </xf>
    <xf numFmtId="0" fontId="12" fillId="7" borderId="11" xfId="13" applyFont="1" applyFill="1" applyBorder="1" applyAlignment="1" applyProtection="1">
      <alignment horizontal="center" wrapText="1"/>
    </xf>
    <xf numFmtId="0" fontId="12" fillId="7" borderId="0" xfId="13" applyFont="1" applyFill="1" applyBorder="1" applyAlignment="1" applyProtection="1">
      <alignment horizontal="center" wrapText="1"/>
    </xf>
    <xf numFmtId="0" fontId="15" fillId="4" borderId="98" xfId="0" applyFont="1" applyFill="1" applyBorder="1" applyAlignment="1" applyProtection="1">
      <alignment horizontal="left" vertical="center"/>
    </xf>
    <xf numFmtId="0" fontId="15" fillId="4" borderId="103" xfId="0" applyFont="1" applyFill="1" applyBorder="1" applyAlignment="1" applyProtection="1">
      <alignment horizontal="left" vertical="center"/>
    </xf>
    <xf numFmtId="0" fontId="15" fillId="4" borderId="123" xfId="0" applyFont="1" applyFill="1" applyBorder="1" applyAlignment="1" applyProtection="1">
      <alignment horizontal="left" vertical="center"/>
    </xf>
    <xf numFmtId="0" fontId="12" fillId="4" borderId="150" xfId="0" applyFont="1" applyFill="1" applyBorder="1" applyAlignment="1" applyProtection="1">
      <alignment horizontal="left" vertical="center" indent="1"/>
    </xf>
    <xf numFmtId="0" fontId="12" fillId="4" borderId="88" xfId="0" applyFont="1" applyFill="1" applyBorder="1" applyAlignment="1" applyProtection="1">
      <alignment horizontal="left" vertical="center" indent="1"/>
    </xf>
    <xf numFmtId="0" fontId="12" fillId="4" borderId="89" xfId="0" applyFont="1" applyFill="1" applyBorder="1" applyAlignment="1" applyProtection="1">
      <alignment horizontal="left" vertical="center" indent="1"/>
    </xf>
    <xf numFmtId="0" fontId="21" fillId="3" borderId="0" xfId="0" applyFont="1" applyFill="1" applyAlignment="1" applyProtection="1">
      <alignment horizontal="left" wrapText="1"/>
    </xf>
    <xf numFmtId="0" fontId="12" fillId="4" borderId="13" xfId="0" applyFont="1" applyFill="1" applyBorder="1" applyAlignment="1" applyProtection="1">
      <alignment horizontal="center" vertical="center"/>
    </xf>
    <xf numFmtId="0" fontId="12" fillId="4" borderId="6" xfId="0" applyFont="1" applyFill="1" applyBorder="1" applyAlignment="1" applyProtection="1">
      <alignment horizontal="center" vertical="center"/>
    </xf>
    <xf numFmtId="166" fontId="12" fillId="4" borderId="13" xfId="0" applyNumberFormat="1" applyFont="1" applyFill="1" applyBorder="1" applyAlignment="1" applyProtection="1">
      <alignment horizontal="center" vertical="center"/>
    </xf>
    <xf numFmtId="166" fontId="12" fillId="4" borderId="6" xfId="0" applyNumberFormat="1" applyFont="1" applyFill="1" applyBorder="1" applyAlignment="1" applyProtection="1">
      <alignment horizontal="center" vertical="center"/>
    </xf>
    <xf numFmtId="0" fontId="11" fillId="2" borderId="13" xfId="0" applyFont="1" applyFill="1" applyBorder="1" applyAlignment="1" applyProtection="1">
      <alignment horizontal="left" vertical="center"/>
    </xf>
    <xf numFmtId="0" fontId="11" fillId="2" borderId="6" xfId="0" applyFont="1" applyFill="1" applyBorder="1" applyAlignment="1" applyProtection="1">
      <alignment horizontal="left" vertical="center"/>
    </xf>
    <xf numFmtId="0" fontId="11" fillId="2" borderId="16" xfId="0" applyFont="1" applyFill="1" applyBorder="1" applyAlignment="1" applyProtection="1">
      <alignment horizontal="left" vertical="center"/>
    </xf>
    <xf numFmtId="0" fontId="56" fillId="21" borderId="121" xfId="0" applyFont="1" applyFill="1" applyBorder="1" applyAlignment="1" applyProtection="1">
      <alignment horizontal="center" wrapText="1"/>
    </xf>
    <xf numFmtId="0" fontId="56" fillId="21" borderId="8" xfId="0" applyFont="1" applyFill="1" applyBorder="1" applyAlignment="1" applyProtection="1">
      <alignment horizontal="center" wrapText="1"/>
    </xf>
    <xf numFmtId="0" fontId="56" fillId="21" borderId="91" xfId="0" applyFont="1" applyFill="1" applyBorder="1" applyAlignment="1" applyProtection="1">
      <alignment horizontal="center" wrapText="1"/>
    </xf>
    <xf numFmtId="0" fontId="56" fillId="21" borderId="193" xfId="0" applyFont="1" applyFill="1" applyBorder="1" applyAlignment="1" applyProtection="1">
      <alignment horizontal="center" wrapText="1"/>
    </xf>
    <xf numFmtId="0" fontId="56" fillId="21" borderId="16" xfId="0" applyFont="1" applyFill="1" applyBorder="1" applyAlignment="1" applyProtection="1">
      <alignment horizontal="center" wrapText="1"/>
    </xf>
    <xf numFmtId="0" fontId="56" fillId="21" borderId="70" xfId="0" applyFont="1" applyFill="1" applyBorder="1" applyAlignment="1" applyProtection="1">
      <alignment horizontal="center" wrapText="1"/>
    </xf>
    <xf numFmtId="0" fontId="12" fillId="0" borderId="16" xfId="0" applyFont="1" applyBorder="1" applyAlignment="1" applyProtection="1">
      <alignment horizontal="left" vertical="center" wrapText="1" indent="1"/>
      <protection locked="0"/>
    </xf>
    <xf numFmtId="0" fontId="12" fillId="0" borderId="70" xfId="0" applyFont="1" applyBorder="1" applyAlignment="1" applyProtection="1">
      <alignment horizontal="left" vertical="center" wrapText="1" indent="1"/>
      <protection locked="0"/>
    </xf>
    <xf numFmtId="0" fontId="0" fillId="0" borderId="27" xfId="0" applyBorder="1" applyAlignment="1" applyProtection="1">
      <alignment wrapText="1"/>
    </xf>
    <xf numFmtId="0" fontId="0" fillId="0" borderId="97" xfId="0" applyBorder="1" applyAlignment="1" applyProtection="1">
      <alignment wrapText="1"/>
    </xf>
    <xf numFmtId="0" fontId="0" fillId="0" borderId="54" xfId="0" applyBorder="1" applyAlignment="1" applyProtection="1">
      <alignment wrapText="1"/>
    </xf>
    <xf numFmtId="166" fontId="15" fillId="4" borderId="13" xfId="0" applyNumberFormat="1" applyFont="1" applyFill="1" applyBorder="1" applyAlignment="1" applyProtection="1">
      <alignment horizontal="left" vertical="center" indent="1"/>
    </xf>
    <xf numFmtId="166" fontId="15" fillId="4" borderId="16" xfId="0" applyNumberFormat="1" applyFont="1" applyFill="1" applyBorder="1" applyAlignment="1" applyProtection="1">
      <alignment horizontal="left" vertical="center" indent="1"/>
    </xf>
    <xf numFmtId="166" fontId="15" fillId="4" borderId="70" xfId="0" applyNumberFormat="1" applyFont="1" applyFill="1" applyBorder="1" applyAlignment="1" applyProtection="1">
      <alignment horizontal="left" vertical="center" indent="1"/>
    </xf>
    <xf numFmtId="3" fontId="12" fillId="14" borderId="13" xfId="0" applyNumberFormat="1" applyFont="1" applyFill="1" applyBorder="1" applyAlignment="1" applyProtection="1">
      <alignment horizontal="left" vertical="center" wrapText="1"/>
    </xf>
    <xf numFmtId="0" fontId="12" fillId="14" borderId="6" xfId="0" applyFont="1" applyFill="1" applyBorder="1" applyAlignment="1" applyProtection="1">
      <alignment horizontal="left" vertical="center" wrapText="1"/>
    </xf>
    <xf numFmtId="0" fontId="15" fillId="4" borderId="97" xfId="0" applyFont="1" applyFill="1" applyBorder="1" applyAlignment="1" applyProtection="1">
      <alignment horizontal="left" vertical="center" indent="1"/>
    </xf>
    <xf numFmtId="0" fontId="15" fillId="4" borderId="54" xfId="0" applyFont="1" applyFill="1" applyBorder="1" applyAlignment="1" applyProtection="1">
      <alignment horizontal="left" vertical="center" indent="1"/>
    </xf>
    <xf numFmtId="0" fontId="15" fillId="4" borderId="154" xfId="0" applyFont="1" applyFill="1" applyBorder="1" applyAlignment="1" applyProtection="1">
      <alignment horizontal="left" vertical="center" indent="1"/>
    </xf>
    <xf numFmtId="0" fontId="13" fillId="5" borderId="95" xfId="0" applyFont="1" applyFill="1" applyBorder="1" applyAlignment="1" applyProtection="1">
      <alignment horizontal="center" vertical="center" wrapText="1"/>
    </xf>
    <xf numFmtId="0" fontId="8" fillId="3" borderId="0" xfId="0" applyFont="1" applyFill="1" applyBorder="1" applyAlignment="1" applyProtection="1">
      <alignment horizontal="left" vertical="center" wrapText="1"/>
    </xf>
    <xf numFmtId="0" fontId="2" fillId="5" borderId="6" xfId="0" applyFont="1" applyFill="1" applyBorder="1" applyAlignment="1" applyProtection="1">
      <alignment vertical="center" wrapText="1"/>
    </xf>
    <xf numFmtId="0" fontId="13" fillId="4" borderId="13" xfId="0" applyFont="1" applyFill="1" applyBorder="1" applyAlignment="1" applyProtection="1">
      <alignment horizontal="left" vertical="center" indent="1"/>
    </xf>
    <xf numFmtId="0" fontId="13" fillId="4" borderId="16" xfId="0" applyFont="1" applyFill="1" applyBorder="1" applyAlignment="1" applyProtection="1">
      <alignment horizontal="left" vertical="center" indent="1"/>
    </xf>
    <xf numFmtId="0" fontId="13" fillId="4" borderId="70" xfId="0" applyFont="1" applyFill="1" applyBorder="1" applyAlignment="1" applyProtection="1">
      <alignment horizontal="left" vertical="center" indent="1"/>
    </xf>
    <xf numFmtId="0" fontId="11" fillId="2" borderId="98" xfId="0" applyFont="1" applyFill="1" applyBorder="1" applyAlignment="1" applyProtection="1">
      <alignment horizontal="left" vertical="center"/>
    </xf>
    <xf numFmtId="0" fontId="11" fillId="2" borderId="200" xfId="0" applyFont="1" applyFill="1" applyBorder="1" applyAlignment="1" applyProtection="1">
      <alignment horizontal="left" vertical="center"/>
    </xf>
    <xf numFmtId="0" fontId="13" fillId="0" borderId="172" xfId="0" applyFont="1" applyBorder="1" applyAlignment="1" applyProtection="1">
      <alignment horizontal="left" vertical="center" wrapText="1" indent="1"/>
      <protection locked="0"/>
    </xf>
    <xf numFmtId="0" fontId="13" fillId="0" borderId="103" xfId="0" applyFont="1" applyBorder="1" applyAlignment="1" applyProtection="1">
      <alignment horizontal="left" vertical="center" wrapText="1" indent="1"/>
      <protection locked="0"/>
    </xf>
    <xf numFmtId="0" fontId="13" fillId="0" borderId="123" xfId="0" applyFont="1" applyBorder="1" applyAlignment="1" applyProtection="1">
      <alignment horizontal="left" vertical="center" wrapText="1" indent="1"/>
      <protection locked="0"/>
    </xf>
    <xf numFmtId="0" fontId="15" fillId="4" borderId="90" xfId="0" applyFont="1" applyFill="1" applyBorder="1" applyAlignment="1" applyProtection="1">
      <alignment horizontal="left" vertical="center" indent="1"/>
    </xf>
    <xf numFmtId="0" fontId="15" fillId="4" borderId="8" xfId="0" applyFont="1" applyFill="1" applyBorder="1" applyAlignment="1" applyProtection="1">
      <alignment horizontal="left" vertical="center" indent="1"/>
    </xf>
    <xf numFmtId="0" fontId="15" fillId="4" borderId="91" xfId="0" applyFont="1" applyFill="1" applyBorder="1" applyAlignment="1" applyProtection="1">
      <alignment horizontal="left" vertical="center" indent="1"/>
    </xf>
    <xf numFmtId="0" fontId="12" fillId="4" borderId="13" xfId="0" applyNumberFormat="1" applyFont="1" applyFill="1" applyBorder="1" applyAlignment="1" applyProtection="1">
      <alignment horizontal="left" vertical="center" wrapText="1" indent="1"/>
    </xf>
    <xf numFmtId="0" fontId="12" fillId="4" borderId="16" xfId="0" applyNumberFormat="1" applyFont="1" applyFill="1" applyBorder="1" applyAlignment="1" applyProtection="1">
      <alignment horizontal="left" vertical="center" wrapText="1" indent="1"/>
    </xf>
    <xf numFmtId="0" fontId="12" fillId="4" borderId="6" xfId="0" applyNumberFormat="1" applyFont="1" applyFill="1" applyBorder="1" applyAlignment="1" applyProtection="1">
      <alignment horizontal="left" vertical="center" wrapText="1" indent="1"/>
    </xf>
    <xf numFmtId="0" fontId="12" fillId="4" borderId="150" xfId="0" applyNumberFormat="1" applyFont="1" applyFill="1" applyBorder="1" applyAlignment="1" applyProtection="1">
      <alignment horizontal="left" vertical="center" wrapText="1" indent="1"/>
    </xf>
    <xf numFmtId="0" fontId="12" fillId="4" borderId="88" xfId="0" applyNumberFormat="1" applyFont="1" applyFill="1" applyBorder="1" applyAlignment="1" applyProtection="1">
      <alignment horizontal="left" vertical="center" wrapText="1" indent="1"/>
    </xf>
    <xf numFmtId="0" fontId="12" fillId="4" borderId="152" xfId="0" applyNumberFormat="1" applyFont="1" applyFill="1" applyBorder="1" applyAlignment="1" applyProtection="1">
      <alignment horizontal="left" vertical="center" wrapText="1" indent="1"/>
    </xf>
    <xf numFmtId="3" fontId="12" fillId="14" borderId="150" xfId="0" applyNumberFormat="1" applyFont="1" applyFill="1" applyBorder="1" applyAlignment="1" applyProtection="1">
      <alignment horizontal="left" vertical="center" wrapText="1"/>
    </xf>
    <xf numFmtId="0" fontId="12" fillId="14" borderId="152" xfId="0" applyFont="1" applyFill="1" applyBorder="1" applyAlignment="1" applyProtection="1">
      <alignment horizontal="left" vertical="center" wrapText="1"/>
    </xf>
    <xf numFmtId="0" fontId="12" fillId="0" borderId="150" xfId="0" applyFont="1" applyFill="1" applyBorder="1" applyAlignment="1" applyProtection="1">
      <alignment horizontal="left" vertical="center" wrapText="1" indent="1"/>
      <protection locked="0"/>
    </xf>
    <xf numFmtId="0" fontId="12" fillId="0" borderId="88" xfId="0" applyFont="1" applyBorder="1" applyAlignment="1" applyProtection="1">
      <alignment horizontal="left" vertical="center" wrapText="1" indent="1"/>
      <protection locked="0"/>
    </xf>
    <xf numFmtId="0" fontId="12" fillId="0" borderId="89" xfId="0" applyFont="1" applyBorder="1" applyAlignment="1" applyProtection="1">
      <alignment horizontal="left" vertical="center" wrapText="1" indent="1"/>
      <protection locked="0"/>
    </xf>
    <xf numFmtId="3" fontId="12" fillId="4" borderId="13" xfId="0" applyNumberFormat="1" applyFont="1" applyFill="1" applyBorder="1" applyAlignment="1" applyProtection="1">
      <alignment horizontal="left" vertical="center" wrapText="1"/>
    </xf>
    <xf numFmtId="0" fontId="12" fillId="4" borderId="70" xfId="0" applyFont="1" applyFill="1" applyBorder="1" applyAlignment="1" applyProtection="1">
      <alignment horizontal="left" vertical="center" wrapText="1"/>
    </xf>
    <xf numFmtId="0" fontId="12" fillId="4" borderId="1" xfId="0" applyNumberFormat="1" applyFont="1" applyFill="1" applyBorder="1" applyAlignment="1" applyProtection="1">
      <alignment horizontal="left" vertical="center" wrapText="1" indent="1"/>
    </xf>
    <xf numFmtId="0" fontId="13" fillId="7" borderId="13" xfId="0" applyFont="1" applyFill="1" applyBorder="1" applyAlignment="1" applyProtection="1">
      <alignment horizontal="center" vertical="center" wrapText="1"/>
    </xf>
    <xf numFmtId="0" fontId="2" fillId="7" borderId="70" xfId="0" applyFont="1" applyFill="1" applyBorder="1" applyAlignment="1" applyProtection="1">
      <alignment vertical="center" wrapText="1"/>
    </xf>
    <xf numFmtId="0" fontId="13" fillId="5" borderId="1" xfId="0" applyFont="1" applyFill="1" applyBorder="1" applyAlignment="1" applyProtection="1">
      <alignment horizontal="center" vertical="center" wrapText="1"/>
    </xf>
    <xf numFmtId="0" fontId="0" fillId="0" borderId="1" xfId="0" applyBorder="1" applyAlignment="1" applyProtection="1">
      <alignment wrapText="1"/>
    </xf>
    <xf numFmtId="0" fontId="13" fillId="7" borderId="1" xfId="0" applyFont="1" applyFill="1" applyBorder="1" applyAlignment="1" applyProtection="1">
      <alignment horizontal="center" vertical="center" wrapText="1"/>
    </xf>
    <xf numFmtId="0" fontId="13" fillId="5" borderId="116" xfId="0" applyFont="1" applyFill="1" applyBorder="1" applyAlignment="1" applyProtection="1">
      <alignment horizontal="center" vertical="center" wrapText="1"/>
    </xf>
    <xf numFmtId="0" fontId="12" fillId="0" borderId="76" xfId="0" applyFont="1" applyFill="1" applyBorder="1" applyAlignment="1" applyProtection="1">
      <alignment horizontal="left" vertical="center"/>
      <protection locked="0"/>
    </xf>
    <xf numFmtId="0" fontId="15" fillId="0" borderId="49" xfId="0" applyFont="1" applyFill="1" applyBorder="1" applyAlignment="1" applyProtection="1">
      <alignment horizontal="left" vertical="center"/>
      <protection locked="0"/>
    </xf>
    <xf numFmtId="0" fontId="15" fillId="0" borderId="87" xfId="0" applyFont="1" applyFill="1" applyBorder="1" applyAlignment="1" applyProtection="1">
      <alignment horizontal="left" vertical="center"/>
      <protection locked="0"/>
    </xf>
    <xf numFmtId="0" fontId="15" fillId="0" borderId="11"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5" fillId="0" borderId="117" xfId="0" applyFont="1" applyFill="1" applyBorder="1" applyAlignment="1" applyProtection="1">
      <alignment horizontal="left" vertical="center"/>
      <protection locked="0"/>
    </xf>
    <xf numFmtId="0" fontId="15" fillId="0" borderId="7" xfId="0" applyFont="1" applyFill="1" applyBorder="1" applyAlignment="1" applyProtection="1">
      <alignment horizontal="left" vertical="center"/>
      <protection locked="0"/>
    </xf>
    <xf numFmtId="0" fontId="15" fillId="0" borderId="10" xfId="0" applyFont="1" applyFill="1" applyBorder="1" applyAlignment="1" applyProtection="1">
      <alignment horizontal="left" vertical="center"/>
      <protection locked="0"/>
    </xf>
    <xf numFmtId="0" fontId="15" fillId="0" borderId="142" xfId="0" applyFont="1" applyFill="1" applyBorder="1" applyAlignment="1" applyProtection="1">
      <alignment horizontal="left" vertical="center"/>
      <protection locked="0"/>
    </xf>
    <xf numFmtId="0" fontId="12" fillId="4" borderId="13" xfId="0" applyFont="1" applyFill="1" applyBorder="1" applyAlignment="1" applyProtection="1">
      <alignment horizontal="left" vertical="center" wrapText="1"/>
    </xf>
    <xf numFmtId="0" fontId="12" fillId="4" borderId="16" xfId="0" applyFont="1" applyFill="1" applyBorder="1" applyAlignment="1" applyProtection="1">
      <alignment horizontal="left" vertical="center" wrapText="1"/>
    </xf>
    <xf numFmtId="0" fontId="12" fillId="4" borderId="6" xfId="0" applyFont="1" applyFill="1" applyBorder="1" applyAlignment="1" applyProtection="1">
      <alignment horizontal="left" vertical="center" wrapText="1"/>
    </xf>
    <xf numFmtId="3" fontId="12" fillId="0" borderId="1" xfId="0" applyNumberFormat="1" applyFont="1" applyFill="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3" fillId="3" borderId="10" xfId="0" applyFont="1" applyFill="1" applyBorder="1" applyAlignment="1" applyProtection="1">
      <alignment vertical="center" wrapText="1"/>
    </xf>
    <xf numFmtId="0" fontId="0" fillId="0" borderId="10" xfId="0" applyBorder="1" applyAlignment="1">
      <alignment vertical="center"/>
    </xf>
    <xf numFmtId="3" fontId="12" fillId="3" borderId="1" xfId="0" applyNumberFormat="1" applyFont="1" applyFill="1" applyBorder="1" applyAlignment="1" applyProtection="1">
      <alignment horizontal="center" vertical="center" wrapText="1"/>
      <protection locked="0"/>
    </xf>
    <xf numFmtId="0" fontId="12" fillId="0" borderId="1" xfId="0" applyFont="1" applyBorder="1" applyAlignment="1" applyProtection="1">
      <alignment vertical="center" wrapText="1"/>
      <protection locked="0"/>
    </xf>
    <xf numFmtId="3" fontId="12" fillId="0" borderId="28" xfId="0" applyNumberFormat="1" applyFont="1" applyFill="1" applyBorder="1" applyAlignment="1" applyProtection="1">
      <alignment horizontal="left" vertical="center" wrapText="1"/>
      <protection locked="0"/>
    </xf>
    <xf numFmtId="0" fontId="12" fillId="0" borderId="28" xfId="0" applyFont="1" applyBorder="1" applyAlignment="1" applyProtection="1">
      <alignment horizontal="left" vertical="center" wrapText="1"/>
      <protection locked="0"/>
    </xf>
    <xf numFmtId="0" fontId="12" fillId="0" borderId="149" xfId="0" applyFont="1" applyBorder="1" applyAlignment="1" applyProtection="1">
      <alignment horizontal="left" vertical="center" wrapText="1"/>
      <protection locked="0"/>
    </xf>
    <xf numFmtId="0" fontId="12" fillId="4" borderId="3" xfId="0" applyFont="1" applyFill="1" applyBorder="1" applyAlignment="1" applyProtection="1">
      <alignment horizontal="left" vertical="center" wrapText="1"/>
    </xf>
    <xf numFmtId="0" fontId="12" fillId="4" borderId="3" xfId="0" applyFont="1" applyFill="1" applyBorder="1" applyAlignment="1" applyProtection="1">
      <alignment vertical="center"/>
    </xf>
    <xf numFmtId="3" fontId="12" fillId="0" borderId="120" xfId="0" applyNumberFormat="1" applyFont="1" applyFill="1" applyBorder="1" applyAlignment="1" applyProtection="1">
      <alignment horizontal="left" vertical="center" wrapText="1"/>
      <protection locked="0"/>
    </xf>
    <xf numFmtId="0" fontId="12" fillId="0" borderId="120"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3" fontId="12" fillId="3" borderId="3" xfId="0" applyNumberFormat="1" applyFont="1" applyFill="1" applyBorder="1" applyAlignment="1" applyProtection="1">
      <alignment horizontal="center" vertical="center" wrapText="1"/>
      <protection locked="0"/>
    </xf>
    <xf numFmtId="0" fontId="12" fillId="0" borderId="3" xfId="0" applyFont="1" applyBorder="1" applyAlignment="1" applyProtection="1">
      <alignment vertical="center" wrapText="1"/>
      <protection locked="0"/>
    </xf>
    <xf numFmtId="0" fontId="52" fillId="3" borderId="0" xfId="0" applyFont="1" applyFill="1" applyBorder="1" applyAlignment="1" applyProtection="1">
      <alignment horizontal="left" vertical="center" wrapText="1"/>
    </xf>
    <xf numFmtId="0" fontId="7" fillId="3" borderId="0" xfId="0" applyFont="1" applyFill="1" applyBorder="1" applyAlignment="1" applyProtection="1">
      <alignment horizontal="center" vertical="center"/>
    </xf>
    <xf numFmtId="0" fontId="14" fillId="4" borderId="76" xfId="0" applyFont="1" applyFill="1" applyBorder="1" applyAlignment="1" applyProtection="1">
      <alignment horizontal="left" vertical="center"/>
    </xf>
    <xf numFmtId="0" fontId="14" fillId="4" borderId="49" xfId="0" applyFont="1" applyFill="1" applyBorder="1" applyAlignment="1" applyProtection="1">
      <alignment horizontal="left" vertical="center"/>
    </xf>
    <xf numFmtId="0" fontId="14" fillId="4" borderId="87" xfId="0" applyFont="1" applyFill="1" applyBorder="1" applyAlignment="1" applyProtection="1">
      <alignment horizontal="left" vertical="center"/>
    </xf>
    <xf numFmtId="0" fontId="13" fillId="5" borderId="120" xfId="0" applyFont="1" applyFill="1" applyBorder="1" applyAlignment="1" applyProtection="1">
      <alignment horizontal="center" vertical="center" wrapText="1"/>
    </xf>
    <xf numFmtId="0" fontId="0" fillId="0" borderId="190" xfId="0" applyBorder="1" applyAlignment="1" applyProtection="1">
      <alignment horizontal="center" vertical="center" wrapText="1"/>
    </xf>
    <xf numFmtId="0" fontId="0" fillId="0" borderId="120" xfId="0" applyBorder="1" applyAlignment="1" applyProtection="1">
      <alignment wrapText="1"/>
    </xf>
    <xf numFmtId="0" fontId="0" fillId="0" borderId="15" xfId="0" applyBorder="1" applyAlignment="1" applyProtection="1">
      <alignment wrapText="1"/>
    </xf>
    <xf numFmtId="0" fontId="0" fillId="0" borderId="190" xfId="0" applyBorder="1" applyAlignment="1" applyProtection="1">
      <alignment wrapText="1"/>
    </xf>
    <xf numFmtId="0" fontId="0" fillId="0" borderId="202" xfId="0" applyBorder="1" applyAlignment="1" applyProtection="1">
      <alignment wrapText="1"/>
    </xf>
    <xf numFmtId="0" fontId="0" fillId="5" borderId="75" xfId="0" applyFill="1" applyBorder="1" applyAlignment="1">
      <alignment horizontal="center" vertical="center" wrapText="1"/>
    </xf>
    <xf numFmtId="0" fontId="0" fillId="0" borderId="120" xfId="0" applyBorder="1" applyAlignment="1" applyProtection="1">
      <alignment horizontal="center" vertical="center" wrapText="1"/>
    </xf>
    <xf numFmtId="0" fontId="13" fillId="5" borderId="173" xfId="0" applyFont="1" applyFill="1" applyBorder="1" applyAlignment="1" applyProtection="1">
      <alignment horizontal="center" vertical="center" wrapText="1"/>
    </xf>
    <xf numFmtId="0" fontId="0" fillId="5" borderId="190" xfId="0" applyFill="1" applyBorder="1" applyAlignment="1" applyProtection="1">
      <alignment horizontal="center" vertical="center" wrapText="1"/>
    </xf>
    <xf numFmtId="0" fontId="23" fillId="5" borderId="120" xfId="0" applyFont="1" applyFill="1" applyBorder="1" applyAlignment="1" applyProtection="1">
      <alignment horizontal="center" vertical="center" wrapText="1"/>
    </xf>
    <xf numFmtId="0" fontId="0" fillId="0" borderId="120" xfId="0" applyBorder="1" applyAlignment="1" applyProtection="1">
      <alignment vertical="center"/>
    </xf>
    <xf numFmtId="0" fontId="23" fillId="5" borderId="190" xfId="0" applyFont="1" applyFill="1" applyBorder="1" applyAlignment="1" applyProtection="1">
      <alignment horizontal="center" vertical="center" wrapText="1"/>
    </xf>
    <xf numFmtId="0" fontId="0" fillId="0" borderId="190" xfId="0" applyBorder="1" applyAlignment="1" applyProtection="1">
      <alignment vertical="center"/>
    </xf>
    <xf numFmtId="0" fontId="11" fillId="2" borderId="0" xfId="0" applyFont="1" applyFill="1" applyBorder="1" applyAlignment="1" applyProtection="1">
      <alignment horizontal="left" vertical="center"/>
    </xf>
    <xf numFmtId="0" fontId="0" fillId="0" borderId="0" xfId="0" applyAlignment="1" applyProtection="1">
      <alignment vertical="center"/>
    </xf>
    <xf numFmtId="0" fontId="11" fillId="2" borderId="11" xfId="0" applyFont="1" applyFill="1" applyBorder="1" applyAlignment="1" applyProtection="1">
      <alignment vertical="center"/>
    </xf>
    <xf numFmtId="0" fontId="11" fillId="2" borderId="98" xfId="0" applyFont="1" applyFill="1" applyBorder="1" applyAlignment="1" applyProtection="1">
      <alignment vertical="center"/>
    </xf>
    <xf numFmtId="0" fontId="0" fillId="0" borderId="103" xfId="0" applyBorder="1" applyAlignment="1" applyProtection="1">
      <alignment vertical="center"/>
    </xf>
    <xf numFmtId="0" fontId="0" fillId="0" borderId="123" xfId="0" applyBorder="1" applyAlignment="1" applyProtection="1">
      <alignment vertical="center"/>
    </xf>
    <xf numFmtId="0" fontId="13" fillId="7" borderId="120" xfId="0" applyFont="1" applyFill="1" applyBorder="1" applyAlignment="1" applyProtection="1">
      <alignment horizontal="center" vertical="center" wrapText="1"/>
    </xf>
    <xf numFmtId="0" fontId="0" fillId="7" borderId="190" xfId="0" applyFill="1" applyBorder="1" applyAlignment="1" applyProtection="1">
      <alignment horizontal="center" vertical="center" wrapText="1"/>
    </xf>
    <xf numFmtId="0" fontId="13" fillId="7" borderId="190" xfId="0" applyFont="1" applyFill="1" applyBorder="1" applyAlignment="1" applyProtection="1">
      <alignment horizontal="center" vertical="center" wrapText="1"/>
    </xf>
    <xf numFmtId="0" fontId="13" fillId="5" borderId="15" xfId="0" applyFont="1" applyFill="1" applyBorder="1" applyAlignment="1" applyProtection="1">
      <alignment horizontal="center" vertical="center" wrapText="1"/>
    </xf>
    <xf numFmtId="0" fontId="0" fillId="0" borderId="202" xfId="0" applyBorder="1" applyAlignment="1" applyProtection="1">
      <alignment horizontal="center" vertical="center" wrapText="1"/>
    </xf>
    <xf numFmtId="0" fontId="109" fillId="0" borderId="94" xfId="0" applyFont="1" applyFill="1" applyBorder="1" applyAlignment="1" applyProtection="1">
      <alignment horizontal="center" vertical="center" wrapText="1"/>
    </xf>
    <xf numFmtId="0" fontId="109" fillId="0" borderId="85" xfId="0" applyFont="1" applyFill="1" applyBorder="1" applyAlignment="1" applyProtection="1">
      <alignment horizontal="center" vertical="center" wrapText="1"/>
    </xf>
    <xf numFmtId="0" fontId="134" fillId="0" borderId="86" xfId="0" applyFont="1" applyFill="1" applyBorder="1" applyAlignment="1" applyProtection="1">
      <alignment horizontal="center" vertical="center" wrapText="1"/>
    </xf>
    <xf numFmtId="0" fontId="134" fillId="0" borderId="77" xfId="0" applyFont="1" applyFill="1" applyBorder="1" applyAlignment="1" applyProtection="1">
      <alignment horizontal="center" vertical="center" wrapText="1"/>
    </xf>
    <xf numFmtId="0" fontId="132" fillId="0" borderId="86" xfId="0" applyNumberFormat="1" applyFont="1" applyFill="1" applyBorder="1" applyAlignment="1" applyProtection="1">
      <alignment horizontal="center" vertical="center" wrapText="1"/>
    </xf>
    <xf numFmtId="0" fontId="132" fillId="0" borderId="77" xfId="0" applyNumberFormat="1" applyFont="1" applyFill="1" applyBorder="1" applyAlignment="1" applyProtection="1">
      <alignment horizontal="center" vertical="center" wrapText="1"/>
    </xf>
    <xf numFmtId="0" fontId="109" fillId="0" borderId="155" xfId="0" applyFont="1" applyFill="1" applyBorder="1" applyAlignment="1" applyProtection="1">
      <alignment horizontal="center" vertical="center" wrapText="1"/>
    </xf>
    <xf numFmtId="0" fontId="109" fillId="0" borderId="122" xfId="0" applyFont="1" applyFill="1" applyBorder="1" applyAlignment="1" applyProtection="1">
      <alignment horizontal="center" vertical="center" wrapText="1"/>
    </xf>
    <xf numFmtId="0" fontId="109" fillId="0" borderId="93" xfId="0" applyFont="1" applyFill="1" applyBorder="1" applyAlignment="1" applyProtection="1">
      <alignment horizontal="center" vertical="center" wrapText="1"/>
    </xf>
    <xf numFmtId="0" fontId="109" fillId="0" borderId="1" xfId="0" applyFont="1" applyFill="1" applyBorder="1" applyAlignment="1" applyProtection="1">
      <alignment horizontal="center" vertical="center" wrapText="1"/>
    </xf>
    <xf numFmtId="0" fontId="115" fillId="0" borderId="0" xfId="0" applyFont="1" applyFill="1" applyBorder="1" applyAlignment="1" applyProtection="1">
      <alignment horizontal="left" vertical="center" wrapText="1"/>
    </xf>
    <xf numFmtId="0" fontId="131" fillId="0" borderId="0" xfId="0" applyFont="1" applyFill="1" applyBorder="1" applyAlignment="1" applyProtection="1">
      <alignment horizontal="left" vertical="center" wrapText="1"/>
    </xf>
    <xf numFmtId="0" fontId="129" fillId="0" borderId="86" xfId="0" applyFont="1" applyFill="1" applyBorder="1" applyAlignment="1" applyProtection="1">
      <alignment horizontal="center" vertical="center" wrapText="1"/>
    </xf>
    <xf numFmtId="0" fontId="129" fillId="0" borderId="77" xfId="0" applyFont="1" applyFill="1" applyBorder="1" applyAlignment="1" applyProtection="1">
      <alignment horizontal="center" vertical="center" wrapText="1"/>
    </xf>
    <xf numFmtId="0" fontId="29" fillId="0" borderId="86" xfId="0" applyFont="1" applyFill="1" applyBorder="1" applyAlignment="1" applyProtection="1">
      <alignment horizontal="center" vertical="center" wrapText="1"/>
    </xf>
    <xf numFmtId="0" fontId="29" fillId="0" borderId="77"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109" fillId="0" borderId="92" xfId="0" applyFont="1" applyFill="1" applyBorder="1" applyAlignment="1" applyProtection="1">
      <alignment horizontal="center" vertical="center" wrapText="1"/>
    </xf>
    <xf numFmtId="0" fontId="109" fillId="0" borderId="3" xfId="0" applyFont="1" applyFill="1" applyBorder="1" applyAlignment="1" applyProtection="1">
      <alignment horizontal="center" vertical="center" wrapText="1"/>
    </xf>
    <xf numFmtId="0" fontId="109" fillId="0" borderId="121" xfId="0" applyFont="1" applyFill="1" applyBorder="1" applyAlignment="1" applyProtection="1">
      <alignment horizontal="center" vertical="center" wrapText="1"/>
    </xf>
    <xf numFmtId="0" fontId="109" fillId="0" borderId="5" xfId="0" applyFont="1" applyFill="1" applyBorder="1" applyAlignment="1" applyProtection="1">
      <alignment horizontal="center" vertical="center" wrapText="1"/>
    </xf>
    <xf numFmtId="0" fontId="109" fillId="0" borderId="188" xfId="0" applyFont="1" applyFill="1" applyBorder="1" applyAlignment="1" applyProtection="1">
      <alignment horizontal="center" vertical="center" wrapText="1"/>
    </xf>
    <xf numFmtId="0" fontId="109" fillId="0" borderId="152" xfId="0" applyFont="1" applyFill="1" applyBorder="1" applyAlignment="1" applyProtection="1">
      <alignment horizontal="center" vertical="center" wrapText="1"/>
    </xf>
    <xf numFmtId="0" fontId="109" fillId="0" borderId="193" xfId="0" applyFont="1" applyFill="1" applyBorder="1" applyAlignment="1" applyProtection="1">
      <alignment horizontal="center" vertical="center" wrapText="1"/>
    </xf>
    <xf numFmtId="0" fontId="109" fillId="0" borderId="6" xfId="0" applyFont="1" applyFill="1" applyBorder="1" applyAlignment="1" applyProtection="1">
      <alignment horizontal="center" vertical="center" wrapText="1"/>
    </xf>
    <xf numFmtId="0" fontId="129" fillId="0" borderId="220" xfId="0" applyFont="1" applyFill="1" applyBorder="1" applyAlignment="1">
      <alignment horizontal="center" vertical="center" wrapText="1"/>
    </xf>
    <xf numFmtId="0" fontId="129" fillId="0" borderId="221" xfId="0" applyFont="1" applyFill="1" applyBorder="1" applyAlignment="1">
      <alignment horizontal="center" vertical="center" wrapText="1"/>
    </xf>
    <xf numFmtId="0" fontId="129" fillId="0" borderId="1" xfId="0" applyFont="1" applyFill="1" applyBorder="1" applyAlignment="1">
      <alignment horizontal="center" vertical="center" wrapText="1"/>
    </xf>
    <xf numFmtId="0" fontId="128" fillId="0" borderId="0" xfId="0" applyFont="1" applyFill="1" applyBorder="1" applyAlignment="1" applyProtection="1">
      <alignment horizontal="center" vertical="center" wrapText="1"/>
    </xf>
    <xf numFmtId="0" fontId="109" fillId="0" borderId="98" xfId="0" applyFont="1" applyFill="1" applyBorder="1" applyAlignment="1" applyProtection="1">
      <alignment horizontal="center" vertical="center" wrapText="1"/>
    </xf>
    <xf numFmtId="0" fontId="109" fillId="0" borderId="103" xfId="0" applyFont="1" applyFill="1" applyBorder="1" applyAlignment="1" applyProtection="1">
      <alignment horizontal="center" vertical="center" wrapText="1"/>
    </xf>
    <xf numFmtId="0" fontId="109" fillId="0" borderId="123" xfId="0" applyFont="1" applyFill="1" applyBorder="1" applyAlignment="1" applyProtection="1">
      <alignment horizontal="center" vertical="center" wrapText="1"/>
    </xf>
    <xf numFmtId="0" fontId="109" fillId="0" borderId="8" xfId="0" applyFont="1" applyFill="1" applyBorder="1" applyAlignment="1" applyProtection="1">
      <alignment horizontal="center" vertical="center" wrapText="1"/>
    </xf>
    <xf numFmtId="0" fontId="109" fillId="0" borderId="91" xfId="0" applyFont="1" applyFill="1" applyBorder="1" applyAlignment="1" applyProtection="1">
      <alignment horizontal="center" vertical="center" wrapText="1"/>
    </xf>
    <xf numFmtId="0" fontId="74" fillId="4" borderId="0" xfId="0" applyFont="1" applyFill="1" applyBorder="1" applyAlignment="1" applyProtection="1">
      <alignment horizontal="left" vertical="center" wrapText="1"/>
    </xf>
    <xf numFmtId="0" fontId="73" fillId="4" borderId="0" xfId="0" applyFont="1" applyFill="1" applyBorder="1" applyAlignment="1">
      <alignment horizontal="left" vertical="center" wrapText="1"/>
    </xf>
    <xf numFmtId="0" fontId="15" fillId="4" borderId="193" xfId="0" applyNumberFormat="1" applyFont="1" applyFill="1" applyBorder="1" applyAlignment="1" applyProtection="1">
      <alignment horizontal="left" vertical="center" wrapText="1" indent="1"/>
    </xf>
    <xf numFmtId="0" fontId="0" fillId="4" borderId="16" xfId="0" applyNumberFormat="1" applyFill="1" applyBorder="1" applyAlignment="1" applyProtection="1">
      <alignment horizontal="left" vertical="center" wrapText="1" indent="1"/>
    </xf>
    <xf numFmtId="0" fontId="0" fillId="4" borderId="70" xfId="0" applyNumberFormat="1" applyFill="1" applyBorder="1" applyAlignment="1" applyProtection="1">
      <alignment horizontal="left" vertical="center" wrapText="1" indent="1"/>
    </xf>
    <xf numFmtId="0" fontId="9" fillId="0" borderId="98" xfId="0" applyFont="1" applyFill="1" applyBorder="1" applyAlignment="1" applyProtection="1">
      <alignment horizontal="center" vertical="center" wrapText="1"/>
    </xf>
    <xf numFmtId="0" fontId="0" fillId="0" borderId="103" xfId="0" applyFill="1" applyBorder="1" applyAlignment="1" applyProtection="1">
      <alignment horizontal="center" vertical="center" wrapText="1"/>
    </xf>
    <xf numFmtId="0" fontId="0" fillId="0" borderId="103" xfId="0" applyFill="1" applyBorder="1" applyAlignment="1" applyProtection="1">
      <alignment wrapText="1"/>
    </xf>
    <xf numFmtId="0" fontId="0" fillId="0" borderId="123" xfId="0" applyFill="1" applyBorder="1" applyAlignment="1" applyProtection="1">
      <alignment wrapText="1"/>
    </xf>
    <xf numFmtId="0" fontId="23" fillId="5" borderId="49" xfId="0" applyFont="1" applyFill="1" applyBorder="1" applyAlignment="1" applyProtection="1">
      <alignment horizontal="center" vertical="center" wrapText="1"/>
    </xf>
    <xf numFmtId="0" fontId="0" fillId="0" borderId="49" xfId="0" applyBorder="1" applyAlignment="1" applyProtection="1">
      <alignment wrapText="1"/>
    </xf>
    <xf numFmtId="0" fontId="0" fillId="0" borderId="87" xfId="0" applyBorder="1" applyAlignment="1" applyProtection="1">
      <alignment wrapText="1"/>
    </xf>
    <xf numFmtId="0" fontId="13" fillId="5" borderId="76" xfId="0" applyFont="1" applyFill="1" applyBorder="1" applyAlignment="1" applyProtection="1">
      <alignment horizontal="center" vertical="center" wrapText="1"/>
    </xf>
    <xf numFmtId="0" fontId="0" fillId="0" borderId="49" xfId="0" applyBorder="1" applyAlignment="1" applyProtection="1">
      <alignment horizontal="center" vertical="center" wrapText="1"/>
    </xf>
    <xf numFmtId="0" fontId="0" fillId="0" borderId="87" xfId="0" applyBorder="1" applyAlignment="1" applyProtection="1">
      <alignment horizontal="center" vertical="center" wrapText="1"/>
    </xf>
    <xf numFmtId="0" fontId="12" fillId="0" borderId="6"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5" fillId="4" borderId="121" xfId="0" applyNumberFormat="1" applyFont="1" applyFill="1" applyBorder="1" applyAlignment="1" applyProtection="1">
      <alignment horizontal="left" vertical="center" wrapText="1" indent="1"/>
    </xf>
    <xf numFmtId="0" fontId="0" fillId="4" borderId="8" xfId="0" applyNumberFormat="1" applyFill="1" applyBorder="1" applyAlignment="1" applyProtection="1">
      <alignment horizontal="left" vertical="center" wrapText="1" indent="1"/>
    </xf>
    <xf numFmtId="0" fontId="0" fillId="4" borderId="91" xfId="0" applyNumberFormat="1" applyFill="1" applyBorder="1" applyAlignment="1" applyProtection="1">
      <alignment horizontal="left" vertical="center" wrapText="1" indent="1"/>
    </xf>
    <xf numFmtId="0" fontId="73" fillId="4" borderId="0" xfId="0" applyFont="1" applyFill="1" applyBorder="1" applyAlignment="1" applyProtection="1">
      <alignment horizontal="left" vertical="center" wrapText="1"/>
    </xf>
    <xf numFmtId="0" fontId="73" fillId="4" borderId="68" xfId="0" applyFont="1" applyFill="1" applyBorder="1" applyAlignment="1" applyProtection="1">
      <alignment horizontal="left" vertical="center" wrapText="1"/>
    </xf>
    <xf numFmtId="0" fontId="73" fillId="4" borderId="10" xfId="0" applyFont="1" applyFill="1" applyBorder="1" applyAlignment="1" applyProtection="1">
      <alignment horizontal="left" wrapText="1"/>
    </xf>
    <xf numFmtId="0" fontId="12" fillId="0" borderId="16"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12" fillId="29" borderId="16" xfId="0" applyFont="1" applyFill="1" applyBorder="1" applyAlignment="1" applyProtection="1">
      <alignment horizontal="left" vertical="center" wrapText="1"/>
      <protection locked="0"/>
    </xf>
    <xf numFmtId="0" fontId="12" fillId="29" borderId="70" xfId="0" applyFont="1" applyFill="1" applyBorder="1" applyAlignment="1" applyProtection="1">
      <alignment horizontal="left" vertical="center" wrapText="1"/>
      <protection locked="0"/>
    </xf>
    <xf numFmtId="0" fontId="15" fillId="4" borderId="193" xfId="0" applyFont="1" applyFill="1" applyBorder="1" applyAlignment="1" applyProtection="1">
      <alignment horizontal="left" vertical="center" wrapText="1" indent="1"/>
    </xf>
    <xf numFmtId="0" fontId="15" fillId="4" borderId="16" xfId="0" applyFont="1" applyFill="1" applyBorder="1" applyAlignment="1" applyProtection="1">
      <alignment horizontal="left" vertical="center" wrapText="1" indent="1"/>
    </xf>
    <xf numFmtId="0" fontId="12" fillId="3" borderId="93" xfId="0" applyFont="1" applyFill="1" applyBorder="1" applyAlignment="1" applyProtection="1">
      <alignment horizontal="left" vertical="center" wrapText="1"/>
      <protection locked="0"/>
    </xf>
    <xf numFmtId="0" fontId="12" fillId="3" borderId="1" xfId="0" applyFont="1" applyFill="1" applyBorder="1" applyAlignment="1" applyProtection="1">
      <alignment horizontal="left" vertical="center" wrapText="1"/>
      <protection locked="0"/>
    </xf>
    <xf numFmtId="0" fontId="12" fillId="3" borderId="4" xfId="0" applyFont="1" applyFill="1" applyBorder="1" applyAlignment="1" applyProtection="1">
      <alignment horizontal="left" vertical="center" wrapText="1"/>
      <protection locked="0"/>
    </xf>
    <xf numFmtId="0" fontId="15" fillId="4" borderId="13" xfId="0" applyNumberFormat="1" applyFont="1" applyFill="1" applyBorder="1" applyAlignment="1" applyProtection="1">
      <alignment horizontal="left" vertical="center" wrapText="1"/>
    </xf>
    <xf numFmtId="0" fontId="15" fillId="4" borderId="16" xfId="0" applyNumberFormat="1" applyFont="1" applyFill="1" applyBorder="1" applyAlignment="1" applyProtection="1">
      <alignment horizontal="left" vertical="center" wrapText="1"/>
    </xf>
    <xf numFmtId="0" fontId="15" fillId="4" borderId="6" xfId="0" applyNumberFormat="1" applyFont="1" applyFill="1" applyBorder="1" applyAlignment="1" applyProtection="1">
      <alignment horizontal="left" vertical="center" wrapText="1"/>
    </xf>
    <xf numFmtId="0" fontId="26" fillId="3" borderId="0" xfId="0" applyFont="1" applyFill="1" applyBorder="1" applyAlignment="1" applyProtection="1">
      <alignment horizontal="left" vertical="center"/>
    </xf>
    <xf numFmtId="0" fontId="12" fillId="5" borderId="75" xfId="0" applyFont="1" applyFill="1" applyBorder="1" applyAlignment="1" applyProtection="1">
      <alignment horizontal="center" vertical="center" wrapText="1"/>
    </xf>
    <xf numFmtId="0" fontId="13" fillId="5" borderId="76" xfId="0" applyFont="1" applyFill="1" applyBorder="1" applyAlignment="1" applyProtection="1">
      <alignment horizontal="center" vertical="center"/>
    </xf>
    <xf numFmtId="0" fontId="12" fillId="5" borderId="49" xfId="0" applyFont="1" applyFill="1" applyBorder="1" applyAlignment="1" applyProtection="1">
      <alignment horizontal="center" vertical="center"/>
    </xf>
    <xf numFmtId="0" fontId="12" fillId="5" borderId="49" xfId="0" applyFont="1" applyFill="1" applyBorder="1" applyAlignment="1" applyProtection="1"/>
    <xf numFmtId="0" fontId="12" fillId="5" borderId="87" xfId="0" applyFont="1" applyFill="1" applyBorder="1" applyAlignment="1" applyProtection="1"/>
    <xf numFmtId="0" fontId="74" fillId="3" borderId="7" xfId="0" applyFont="1" applyFill="1" applyBorder="1" applyAlignment="1" applyProtection="1">
      <alignment horizontal="left"/>
    </xf>
    <xf numFmtId="0" fontId="73" fillId="3" borderId="10" xfId="0" applyFont="1" applyFill="1" applyBorder="1" applyAlignment="1" applyProtection="1">
      <alignment horizontal="left"/>
    </xf>
    <xf numFmtId="0" fontId="12" fillId="3" borderId="1" xfId="0" applyFont="1" applyFill="1" applyBorder="1" applyAlignment="1" applyProtection="1">
      <alignment horizontal="center" vertical="center" wrapText="1"/>
      <protection locked="0"/>
    </xf>
    <xf numFmtId="0" fontId="23" fillId="5" borderId="75" xfId="0" applyFont="1" applyFill="1" applyBorder="1" applyAlignment="1" applyProtection="1">
      <alignment horizontal="center" vertical="center"/>
    </xf>
    <xf numFmtId="0" fontId="2" fillId="5" borderId="157" xfId="0" applyFont="1" applyFill="1" applyBorder="1" applyAlignment="1" applyProtection="1"/>
    <xf numFmtId="0" fontId="2" fillId="5" borderId="8" xfId="0" applyFont="1" applyFill="1" applyBorder="1" applyAlignment="1" applyProtection="1">
      <alignment horizontal="center" vertical="center" wrapText="1"/>
    </xf>
    <xf numFmtId="0" fontId="12" fillId="3" borderId="13" xfId="0" applyFont="1" applyFill="1" applyBorder="1" applyAlignment="1" applyProtection="1">
      <alignment horizontal="left" vertical="center" wrapText="1"/>
      <protection locked="0"/>
    </xf>
    <xf numFmtId="0" fontId="12" fillId="3" borderId="16" xfId="0" applyFont="1" applyFill="1" applyBorder="1" applyAlignment="1" applyProtection="1">
      <alignment horizontal="left" vertical="center"/>
      <protection locked="0"/>
    </xf>
    <xf numFmtId="0" fontId="12" fillId="3" borderId="70" xfId="0" applyFont="1" applyFill="1" applyBorder="1" applyAlignment="1" applyProtection="1">
      <alignment horizontal="left"/>
      <protection locked="0"/>
    </xf>
    <xf numFmtId="0" fontId="23" fillId="3" borderId="98" xfId="0" applyFont="1" applyFill="1" applyBorder="1" applyAlignment="1" applyProtection="1">
      <alignment horizontal="center" vertical="center" wrapText="1"/>
    </xf>
    <xf numFmtId="0" fontId="0" fillId="3" borderId="103" xfId="0" applyFill="1" applyBorder="1" applyAlignment="1" applyProtection="1">
      <alignment horizontal="center" vertical="center" wrapText="1"/>
    </xf>
    <xf numFmtId="0" fontId="0" fillId="3" borderId="123" xfId="0" applyFill="1" applyBorder="1" applyAlignment="1" applyProtection="1">
      <alignment horizontal="center" vertical="center" wrapText="1"/>
    </xf>
    <xf numFmtId="0" fontId="23" fillId="3" borderId="98" xfId="0" applyFont="1" applyFill="1" applyBorder="1" applyAlignment="1" applyProtection="1">
      <alignment horizontal="center" vertical="center"/>
    </xf>
    <xf numFmtId="0" fontId="0" fillId="3" borderId="123" xfId="0" applyFill="1" applyBorder="1" applyAlignment="1" applyProtection="1">
      <alignment horizontal="center" vertical="center"/>
    </xf>
    <xf numFmtId="0" fontId="73" fillId="0" borderId="203" xfId="0" applyFont="1" applyFill="1" applyBorder="1" applyAlignment="1" applyProtection="1">
      <alignment horizontal="left" vertical="center"/>
    </xf>
    <xf numFmtId="0" fontId="23"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xf>
    <xf numFmtId="0" fontId="12" fillId="3" borderId="193" xfId="0" applyFont="1" applyFill="1" applyBorder="1" applyAlignment="1" applyProtection="1">
      <alignment horizontal="left" vertical="center" wrapText="1"/>
    </xf>
    <xf numFmtId="0" fontId="2" fillId="3" borderId="16" xfId="0" applyFont="1" applyFill="1" applyBorder="1" applyAlignment="1" applyProtection="1">
      <alignment horizontal="left" vertical="center" wrapText="1"/>
    </xf>
    <xf numFmtId="0" fontId="12" fillId="3" borderId="188" xfId="0" applyFont="1" applyFill="1" applyBorder="1" applyAlignment="1" applyProtection="1">
      <alignment horizontal="left" vertical="center" wrapText="1"/>
    </xf>
    <xf numFmtId="0" fontId="2" fillId="3" borderId="88" xfId="0" applyFont="1" applyFill="1" applyBorder="1" applyAlignment="1" applyProtection="1">
      <alignment horizontal="left" vertical="center" wrapText="1"/>
    </xf>
    <xf numFmtId="0" fontId="12" fillId="3" borderId="85" xfId="0" applyFont="1" applyFill="1" applyBorder="1" applyAlignment="1" applyProtection="1">
      <alignment horizontal="center" vertical="center" wrapText="1"/>
      <protection locked="0"/>
    </xf>
    <xf numFmtId="0" fontId="15"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12" fillId="3" borderId="150" xfId="0" applyFont="1" applyFill="1" applyBorder="1" applyAlignment="1" applyProtection="1">
      <alignment horizontal="left" vertical="center"/>
      <protection locked="0"/>
    </xf>
    <xf numFmtId="0" fontId="12" fillId="3" borderId="88" xfId="0" applyFont="1" applyFill="1" applyBorder="1" applyAlignment="1" applyProtection="1">
      <alignment horizontal="left" vertical="center"/>
      <protection locked="0"/>
    </xf>
    <xf numFmtId="0" fontId="12" fillId="3" borderId="89" xfId="0" applyFont="1" applyFill="1" applyBorder="1" applyAlignment="1" applyProtection="1">
      <alignment horizontal="left"/>
      <protection locked="0"/>
    </xf>
    <xf numFmtId="0" fontId="13" fillId="5" borderId="173" xfId="0" applyFont="1" applyFill="1" applyBorder="1" applyAlignment="1" applyProtection="1">
      <alignment horizontal="left" vertical="center" wrapText="1"/>
    </xf>
    <xf numFmtId="0" fontId="13" fillId="5" borderId="120" xfId="0" applyFont="1" applyFill="1" applyBorder="1" applyAlignment="1" applyProtection="1">
      <alignment horizontal="left" vertical="center" wrapText="1"/>
    </xf>
    <xf numFmtId="0" fontId="12" fillId="0" borderId="16" xfId="0" applyFont="1" applyFill="1" applyBorder="1" applyAlignment="1" applyProtection="1">
      <alignment horizontal="left" vertical="center" wrapText="1"/>
    </xf>
    <xf numFmtId="0" fontId="13" fillId="5" borderId="14" xfId="0" applyFont="1" applyFill="1" applyBorder="1" applyAlignment="1" applyProtection="1">
      <alignment horizontal="center" vertical="center" wrapText="1"/>
    </xf>
    <xf numFmtId="0" fontId="13" fillId="5" borderId="192" xfId="0" applyFont="1" applyFill="1" applyBorder="1" applyAlignment="1" applyProtection="1">
      <alignment horizontal="center" vertical="center" wrapText="1"/>
    </xf>
    <xf numFmtId="0" fontId="13" fillId="3" borderId="92" xfId="0" applyFont="1" applyFill="1" applyBorder="1" applyAlignment="1" applyProtection="1">
      <alignment horizontal="left" vertical="center"/>
    </xf>
    <xf numFmtId="0" fontId="13" fillId="3" borderId="3" xfId="0" applyFont="1" applyFill="1" applyBorder="1" applyAlignment="1" applyProtection="1">
      <alignment horizontal="left" vertical="center"/>
    </xf>
    <xf numFmtId="0" fontId="12" fillId="0" borderId="100" xfId="0" applyFont="1" applyFill="1" applyBorder="1" applyAlignment="1" applyProtection="1">
      <alignment horizontal="center" vertical="center"/>
    </xf>
    <xf numFmtId="0" fontId="12" fillId="0" borderId="25" xfId="0" applyFont="1" applyFill="1" applyBorder="1" applyAlignment="1" applyProtection="1">
      <alignment horizontal="center" vertical="center"/>
    </xf>
    <xf numFmtId="0" fontId="12" fillId="0" borderId="188" xfId="0" applyFont="1" applyFill="1" applyBorder="1" applyAlignment="1" applyProtection="1">
      <alignment horizontal="center" vertical="center"/>
    </xf>
    <xf numFmtId="0" fontId="12" fillId="0" borderId="152" xfId="0" applyFont="1" applyFill="1" applyBorder="1" applyAlignment="1" applyProtection="1">
      <alignment horizontal="center" vertical="center"/>
    </xf>
    <xf numFmtId="3" fontId="15" fillId="6" borderId="90" xfId="0" applyNumberFormat="1" applyFont="1" applyFill="1" applyBorder="1" applyAlignment="1" applyProtection="1">
      <alignment horizontal="center" vertical="center"/>
    </xf>
    <xf numFmtId="3" fontId="15" fillId="6" borderId="5" xfId="0" applyNumberFormat="1" applyFont="1" applyFill="1" applyBorder="1" applyAlignment="1" applyProtection="1">
      <alignment horizontal="center" vertical="center"/>
    </xf>
    <xf numFmtId="0" fontId="15" fillId="4" borderId="6" xfId="0" applyFont="1" applyFill="1" applyBorder="1" applyAlignment="1" applyProtection="1">
      <alignment horizontal="left" vertical="center" indent="1"/>
    </xf>
    <xf numFmtId="166" fontId="15" fillId="4" borderId="6" xfId="0" applyNumberFormat="1" applyFont="1" applyFill="1" applyBorder="1" applyAlignment="1" applyProtection="1">
      <alignment horizontal="left" vertical="center" indent="1"/>
    </xf>
    <xf numFmtId="0" fontId="13" fillId="14" borderId="76" xfId="0" applyFont="1" applyFill="1" applyBorder="1" applyAlignment="1" applyProtection="1">
      <alignment horizontal="left" vertical="center"/>
    </xf>
    <xf numFmtId="0" fontId="13" fillId="14" borderId="49" xfId="0" applyFont="1" applyFill="1" applyBorder="1" applyAlignment="1" applyProtection="1">
      <alignment horizontal="left" vertical="center"/>
    </xf>
    <xf numFmtId="0" fontId="13" fillId="14" borderId="87" xfId="0" applyFont="1" applyFill="1" applyBorder="1" applyAlignment="1" applyProtection="1">
      <alignment horizontal="left" vertical="center"/>
    </xf>
    <xf numFmtId="0" fontId="12" fillId="3" borderId="98" xfId="0" applyFont="1" applyFill="1" applyBorder="1" applyAlignment="1" applyProtection="1">
      <alignment horizontal="left" vertical="top" wrapText="1"/>
      <protection locked="0"/>
    </xf>
    <xf numFmtId="0" fontId="12" fillId="3" borderId="103" xfId="0" applyFont="1" applyFill="1" applyBorder="1" applyAlignment="1" applyProtection="1">
      <alignment horizontal="left" vertical="top" wrapText="1"/>
      <protection locked="0"/>
    </xf>
    <xf numFmtId="0" fontId="12" fillId="3" borderId="123" xfId="0" applyFont="1" applyFill="1" applyBorder="1" applyAlignment="1" applyProtection="1">
      <alignment horizontal="left" vertical="top" wrapText="1"/>
      <protection locked="0"/>
    </xf>
    <xf numFmtId="0" fontId="13" fillId="5" borderId="204" xfId="0" applyFont="1" applyFill="1" applyBorder="1" applyAlignment="1" applyProtection="1">
      <alignment horizontal="left" wrapText="1"/>
    </xf>
    <xf numFmtId="0" fontId="0" fillId="5" borderId="119" xfId="0" applyFill="1" applyBorder="1" applyAlignment="1" applyProtection="1">
      <alignment horizontal="left" wrapText="1"/>
    </xf>
    <xf numFmtId="0" fontId="0" fillId="5" borderId="113" xfId="0" applyFill="1" applyBorder="1" applyAlignment="1" applyProtection="1">
      <alignment horizontal="left" wrapText="1"/>
    </xf>
    <xf numFmtId="0" fontId="13" fillId="3" borderId="92" xfId="0" applyFont="1" applyFill="1" applyBorder="1" applyAlignment="1" applyProtection="1">
      <alignment horizontal="left" vertical="center" wrapText="1"/>
    </xf>
    <xf numFmtId="0" fontId="13" fillId="3" borderId="3" xfId="0" applyFont="1" applyFill="1" applyBorder="1" applyAlignment="1" applyProtection="1">
      <alignment horizontal="left" vertical="center" wrapText="1"/>
    </xf>
    <xf numFmtId="0" fontId="12" fillId="3" borderId="94" xfId="0" applyFont="1" applyFill="1" applyBorder="1" applyAlignment="1" applyProtection="1">
      <alignment horizontal="left" vertical="center" wrapText="1"/>
    </xf>
    <xf numFmtId="0" fontId="12" fillId="3" borderId="85" xfId="0" applyFont="1" applyFill="1" applyBorder="1" applyAlignment="1" applyProtection="1">
      <alignment horizontal="left" vertical="center" wrapText="1"/>
    </xf>
    <xf numFmtId="0" fontId="12" fillId="0" borderId="93"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3" fontId="15" fillId="6" borderId="3" xfId="0" applyNumberFormat="1" applyFont="1" applyFill="1" applyBorder="1" applyAlignment="1" applyProtection="1">
      <alignment horizontal="center" vertical="center" wrapText="1"/>
    </xf>
    <xf numFmtId="3" fontId="12" fillId="3" borderId="13" xfId="0" applyNumberFormat="1" applyFont="1" applyFill="1" applyBorder="1" applyAlignment="1" applyProtection="1">
      <alignment horizontal="left" vertical="center" wrapText="1"/>
      <protection locked="0"/>
    </xf>
    <xf numFmtId="3" fontId="15" fillId="3" borderId="6" xfId="0" applyNumberFormat="1" applyFont="1" applyFill="1" applyBorder="1" applyAlignment="1" applyProtection="1">
      <alignment horizontal="left" vertical="center" wrapText="1"/>
      <protection locked="0"/>
    </xf>
    <xf numFmtId="3" fontId="12" fillId="3" borderId="150" xfId="0" applyNumberFormat="1" applyFont="1" applyFill="1" applyBorder="1" applyAlignment="1" applyProtection="1">
      <alignment horizontal="left" vertical="center" wrapText="1"/>
      <protection locked="0"/>
    </xf>
    <xf numFmtId="3" fontId="15" fillId="3" borderId="152" xfId="0" applyNumberFormat="1" applyFont="1" applyFill="1" applyBorder="1" applyAlignment="1" applyProtection="1">
      <alignment horizontal="left" vertical="center" wrapText="1"/>
      <protection locked="0"/>
    </xf>
    <xf numFmtId="0" fontId="15" fillId="4" borderId="188" xfId="0" applyFont="1" applyFill="1" applyBorder="1" applyAlignment="1" applyProtection="1">
      <alignment horizontal="left" vertical="center"/>
    </xf>
    <xf numFmtId="0" fontId="15" fillId="4" borderId="88" xfId="0" applyFont="1" applyFill="1" applyBorder="1" applyAlignment="1" applyProtection="1">
      <alignment horizontal="left" vertical="center"/>
    </xf>
    <xf numFmtId="0" fontId="15" fillId="4" borderId="89" xfId="0" applyFont="1" applyFill="1" applyBorder="1" applyAlignment="1" applyProtection="1">
      <alignment horizontal="left" vertical="center"/>
    </xf>
    <xf numFmtId="3" fontId="12" fillId="3" borderId="13" xfId="0" applyNumberFormat="1" applyFont="1" applyFill="1" applyBorder="1" applyAlignment="1" applyProtection="1">
      <alignment horizontal="center" vertical="center" wrapText="1"/>
      <protection locked="0"/>
    </xf>
    <xf numFmtId="3" fontId="12" fillId="3" borderId="6" xfId="0" applyNumberFormat="1" applyFont="1" applyFill="1" applyBorder="1" applyAlignment="1" applyProtection="1">
      <alignment horizontal="center" vertical="center" wrapText="1"/>
      <protection locked="0"/>
    </xf>
    <xf numFmtId="3" fontId="110" fillId="3" borderId="13" xfId="0" applyNumberFormat="1" applyFont="1" applyFill="1" applyBorder="1" applyAlignment="1" applyProtection="1">
      <alignment horizontal="left" vertical="center" wrapText="1"/>
      <protection locked="0"/>
    </xf>
    <xf numFmtId="3" fontId="110" fillId="3" borderId="6" xfId="0" applyNumberFormat="1" applyFont="1" applyFill="1" applyBorder="1" applyAlignment="1" applyProtection="1">
      <alignment horizontal="left" vertical="center" wrapText="1"/>
      <protection locked="0"/>
    </xf>
    <xf numFmtId="3" fontId="12" fillId="3" borderId="85" xfId="0" applyNumberFormat="1" applyFont="1" applyFill="1" applyBorder="1" applyAlignment="1" applyProtection="1">
      <alignment horizontal="center" vertical="center" wrapText="1"/>
      <protection locked="0"/>
    </xf>
    <xf numFmtId="3" fontId="15" fillId="3" borderId="85" xfId="0" applyNumberFormat="1" applyFont="1" applyFill="1" applyBorder="1" applyAlignment="1" applyProtection="1">
      <alignment horizontal="center" vertical="center" wrapText="1"/>
      <protection locked="0"/>
    </xf>
    <xf numFmtId="3" fontId="15" fillId="3" borderId="1" xfId="0" applyNumberFormat="1" applyFont="1" applyFill="1" applyBorder="1" applyAlignment="1" applyProtection="1">
      <alignment horizontal="center" vertical="center" wrapText="1"/>
      <protection locked="0"/>
    </xf>
    <xf numFmtId="0" fontId="13" fillId="3" borderId="90" xfId="0" applyFont="1" applyFill="1" applyBorder="1" applyAlignment="1" applyProtection="1">
      <alignment horizontal="left" vertical="center" wrapText="1"/>
    </xf>
    <xf numFmtId="3" fontId="2" fillId="3" borderId="150" xfId="0" applyNumberFormat="1" applyFont="1" applyFill="1" applyBorder="1" applyAlignment="1" applyProtection="1">
      <alignment horizontal="left" vertical="center" wrapText="1"/>
      <protection locked="0"/>
    </xf>
    <xf numFmtId="3" fontId="2" fillId="3" borderId="152" xfId="0" applyNumberFormat="1" applyFont="1" applyFill="1" applyBorder="1" applyAlignment="1" applyProtection="1">
      <alignment horizontal="left" vertical="center" wrapText="1"/>
      <protection locked="0"/>
    </xf>
    <xf numFmtId="3" fontId="12" fillId="3" borderId="150" xfId="0" applyNumberFormat="1" applyFont="1" applyFill="1" applyBorder="1" applyAlignment="1" applyProtection="1">
      <alignment horizontal="center" vertical="center" wrapText="1"/>
      <protection locked="0"/>
    </xf>
    <xf numFmtId="3" fontId="12" fillId="3" borderId="152" xfId="0" applyNumberFormat="1" applyFont="1" applyFill="1" applyBorder="1" applyAlignment="1" applyProtection="1">
      <alignment horizontal="center" vertical="center" wrapText="1"/>
      <protection locked="0"/>
    </xf>
    <xf numFmtId="0" fontId="12" fillId="3" borderId="150" xfId="0" applyFont="1" applyFill="1" applyBorder="1" applyAlignment="1" applyProtection="1">
      <alignment horizontal="left" vertical="center" wrapText="1"/>
    </xf>
    <xf numFmtId="166" fontId="12" fillId="4" borderId="13" xfId="0" applyNumberFormat="1" applyFont="1" applyFill="1" applyBorder="1" applyAlignment="1" applyProtection="1">
      <alignment horizontal="left" vertical="center" indent="1"/>
    </xf>
    <xf numFmtId="166" fontId="12" fillId="4" borderId="16" xfId="0" applyNumberFormat="1" applyFont="1" applyFill="1" applyBorder="1" applyAlignment="1" applyProtection="1">
      <alignment horizontal="left" vertical="center" indent="1"/>
    </xf>
    <xf numFmtId="166" fontId="12" fillId="4" borderId="70" xfId="0" applyNumberFormat="1" applyFont="1" applyFill="1" applyBorder="1" applyAlignment="1" applyProtection="1">
      <alignment horizontal="left" vertical="center" indent="1"/>
    </xf>
    <xf numFmtId="0" fontId="13" fillId="4" borderId="13" xfId="0" applyNumberFormat="1" applyFont="1" applyFill="1" applyBorder="1" applyAlignment="1" applyProtection="1">
      <alignment horizontal="left" vertical="center" indent="1"/>
    </xf>
    <xf numFmtId="0" fontId="13" fillId="4" borderId="16" xfId="0" applyNumberFormat="1" applyFont="1" applyFill="1" applyBorder="1" applyAlignment="1" applyProtection="1">
      <alignment horizontal="left" vertical="center" indent="1"/>
    </xf>
    <xf numFmtId="0" fontId="13" fillId="4" borderId="70" xfId="0" applyNumberFormat="1" applyFont="1" applyFill="1" applyBorder="1" applyAlignment="1" applyProtection="1">
      <alignment horizontal="left" vertical="center" indent="1"/>
    </xf>
    <xf numFmtId="0" fontId="12" fillId="4" borderId="13" xfId="0" applyNumberFormat="1" applyFont="1" applyFill="1" applyBorder="1" applyAlignment="1" applyProtection="1">
      <alignment horizontal="left" vertical="center" indent="1"/>
    </xf>
    <xf numFmtId="0" fontId="12" fillId="4" borderId="16" xfId="0" applyNumberFormat="1" applyFont="1" applyFill="1" applyBorder="1" applyAlignment="1" applyProtection="1">
      <alignment horizontal="left" vertical="center" indent="1"/>
    </xf>
    <xf numFmtId="0" fontId="12" fillId="4" borderId="70" xfId="0" applyNumberFormat="1" applyFont="1" applyFill="1" applyBorder="1" applyAlignment="1" applyProtection="1">
      <alignment horizontal="left" vertical="center" indent="1"/>
    </xf>
    <xf numFmtId="0" fontId="11" fillId="2" borderId="10" xfId="0" applyFont="1" applyFill="1" applyBorder="1" applyAlignment="1" applyProtection="1">
      <alignment horizontal="left" vertical="center"/>
    </xf>
    <xf numFmtId="0" fontId="11" fillId="2" borderId="103" xfId="0" applyFont="1" applyFill="1" applyBorder="1" applyAlignment="1" applyProtection="1">
      <alignment horizontal="left" vertical="center"/>
    </xf>
    <xf numFmtId="0" fontId="12" fillId="4" borderId="172" xfId="0" applyNumberFormat="1" applyFont="1" applyFill="1" applyBorder="1" applyAlignment="1" applyProtection="1">
      <alignment horizontal="left" vertical="center" wrapText="1" indent="1"/>
    </xf>
    <xf numFmtId="0" fontId="12" fillId="4" borderId="103" xfId="0" applyNumberFormat="1" applyFont="1" applyFill="1" applyBorder="1" applyAlignment="1" applyProtection="1">
      <alignment horizontal="left" vertical="center" wrapText="1" indent="1"/>
    </xf>
    <xf numFmtId="0" fontId="12" fillId="4" borderId="123" xfId="0" applyNumberFormat="1" applyFont="1" applyFill="1" applyBorder="1" applyAlignment="1" applyProtection="1">
      <alignment horizontal="left" vertical="center" wrapText="1" indent="1"/>
    </xf>
    <xf numFmtId="0" fontId="12" fillId="4" borderId="90" xfId="0" applyNumberFormat="1" applyFont="1" applyFill="1" applyBorder="1" applyAlignment="1" applyProtection="1">
      <alignment horizontal="left" vertical="center" indent="1"/>
    </xf>
    <xf numFmtId="0" fontId="12" fillId="4" borderId="8" xfId="0" applyNumberFormat="1" applyFont="1" applyFill="1" applyBorder="1" applyAlignment="1" applyProtection="1">
      <alignment horizontal="left" vertical="center" indent="1"/>
    </xf>
    <xf numFmtId="0" fontId="12" fillId="4" borderId="91" xfId="0" applyNumberFormat="1" applyFont="1" applyFill="1" applyBorder="1" applyAlignment="1" applyProtection="1">
      <alignment horizontal="left" vertical="center" indent="1"/>
    </xf>
    <xf numFmtId="0" fontId="12" fillId="3" borderId="27" xfId="0" applyFont="1" applyFill="1" applyBorder="1" applyAlignment="1" applyProtection="1">
      <alignment horizontal="left" vertical="top" wrapText="1" indent="1"/>
      <protection locked="0"/>
    </xf>
    <xf numFmtId="0" fontId="0" fillId="0" borderId="54" xfId="0" applyBorder="1" applyAlignment="1" applyProtection="1">
      <alignment horizontal="left" vertical="top" wrapText="1" indent="1"/>
      <protection locked="0"/>
    </xf>
    <xf numFmtId="0" fontId="72" fillId="3" borderId="27" xfId="0" applyFont="1" applyFill="1" applyBorder="1" applyAlignment="1" applyProtection="1">
      <alignment horizontal="left" vertical="top" wrapText="1" indent="1"/>
      <protection locked="0"/>
    </xf>
    <xf numFmtId="0" fontId="72" fillId="3" borderId="0" xfId="0" applyFont="1" applyFill="1" applyAlignment="1" applyProtection="1">
      <alignment vertical="center" wrapText="1"/>
    </xf>
    <xf numFmtId="0" fontId="0" fillId="0" borderId="0" xfId="0" applyAlignment="1">
      <alignment vertical="center"/>
    </xf>
    <xf numFmtId="0" fontId="11" fillId="2" borderId="193" xfId="0" applyFont="1" applyFill="1" applyBorder="1" applyAlignment="1" applyProtection="1">
      <alignment horizontal="left" vertical="center"/>
    </xf>
    <xf numFmtId="0" fontId="11" fillId="2" borderId="188" xfId="0" applyFont="1" applyFill="1" applyBorder="1" applyAlignment="1" applyProtection="1">
      <alignment horizontal="left" vertical="center"/>
    </xf>
    <xf numFmtId="0" fontId="11" fillId="2" borderId="88" xfId="0" applyFont="1" applyFill="1" applyBorder="1" applyAlignment="1" applyProtection="1">
      <alignment horizontal="left" vertical="center"/>
    </xf>
    <xf numFmtId="0" fontId="11" fillId="2" borderId="152" xfId="0" applyFont="1" applyFill="1" applyBorder="1" applyAlignment="1" applyProtection="1">
      <alignment horizontal="left" vertical="center"/>
    </xf>
    <xf numFmtId="0" fontId="13" fillId="3" borderId="27" xfId="0" applyFont="1" applyFill="1" applyBorder="1" applyAlignment="1" applyProtection="1">
      <alignment horizontal="center" vertical="center"/>
      <protection locked="0"/>
    </xf>
    <xf numFmtId="0" fontId="0" fillId="0" borderId="54" xfId="0" applyBorder="1" applyAlignment="1" applyProtection="1">
      <alignment vertical="center"/>
      <protection locked="0"/>
    </xf>
    <xf numFmtId="0" fontId="72" fillId="3" borderId="0" xfId="0" applyFont="1" applyFill="1" applyAlignment="1" applyProtection="1">
      <alignment vertical="center"/>
    </xf>
    <xf numFmtId="0" fontId="0" fillId="0" borderId="0" xfId="0" applyAlignment="1">
      <alignment vertical="center" wrapText="1"/>
    </xf>
    <xf numFmtId="0" fontId="13" fillId="3" borderId="0" xfId="0" applyFont="1" applyFill="1" applyBorder="1" applyAlignment="1" applyProtection="1">
      <alignment horizontal="center" vertical="center"/>
      <protection locked="0"/>
    </xf>
    <xf numFmtId="165" fontId="12" fillId="3" borderId="0" xfId="6" applyNumberFormat="1" applyFont="1" applyFill="1" applyAlignment="1" applyProtection="1">
      <alignment horizontal="left" vertical="top" wrapText="1"/>
      <protection locked="0"/>
    </xf>
    <xf numFmtId="0" fontId="0" fillId="0" borderId="54" xfId="0" applyBorder="1" applyAlignment="1" applyProtection="1">
      <alignment horizontal="left" vertical="top" wrapText="1"/>
      <protection locked="0"/>
    </xf>
    <xf numFmtId="0" fontId="72" fillId="3" borderId="54" xfId="0" applyFont="1" applyFill="1" applyBorder="1" applyAlignment="1" applyProtection="1">
      <alignment horizontal="left"/>
      <protection locked="0"/>
    </xf>
    <xf numFmtId="0" fontId="12" fillId="3" borderId="0" xfId="0" applyFont="1" applyFill="1" applyAlignment="1" applyProtection="1">
      <alignment vertical="center" wrapText="1"/>
    </xf>
    <xf numFmtId="0" fontId="72" fillId="3" borderId="16" xfId="0" applyFont="1" applyFill="1" applyBorder="1" applyAlignment="1" applyProtection="1">
      <alignment horizontal="left"/>
      <protection locked="0"/>
    </xf>
    <xf numFmtId="0" fontId="72" fillId="3" borderId="13" xfId="0" applyFont="1" applyFill="1" applyBorder="1" applyAlignment="1" applyProtection="1">
      <alignment horizontal="left" vertical="top" wrapText="1" indent="1"/>
      <protection locked="0"/>
    </xf>
    <xf numFmtId="0" fontId="72" fillId="3" borderId="16" xfId="0" applyFont="1" applyFill="1" applyBorder="1" applyAlignment="1" applyProtection="1">
      <alignment horizontal="left" vertical="top" wrapText="1" indent="1"/>
      <protection locked="0"/>
    </xf>
    <xf numFmtId="0" fontId="72" fillId="3" borderId="6" xfId="0" applyFont="1" applyFill="1" applyBorder="1" applyAlignment="1" applyProtection="1">
      <alignment horizontal="left" vertical="top" wrapText="1" indent="1"/>
      <protection locked="0"/>
    </xf>
    <xf numFmtId="0" fontId="0" fillId="3" borderId="23" xfId="0" applyFill="1" applyBorder="1" applyAlignment="1" applyProtection="1">
      <alignment horizontal="left" vertical="top" wrapText="1" indent="1"/>
      <protection locked="0"/>
    </xf>
    <xf numFmtId="0" fontId="0" fillId="3" borderId="27" xfId="0" applyFill="1" applyBorder="1" applyAlignment="1" applyProtection="1">
      <alignment horizontal="left" vertical="top" wrapText="1" indent="1"/>
      <protection locked="0"/>
    </xf>
    <xf numFmtId="0" fontId="0" fillId="3" borderId="25" xfId="0" applyFill="1" applyBorder="1" applyAlignment="1" applyProtection="1">
      <alignment horizontal="left" vertical="top" wrapText="1" indent="1"/>
      <protection locked="0"/>
    </xf>
    <xf numFmtId="0" fontId="0" fillId="3" borderId="17" xfId="0" applyFill="1" applyBorder="1" applyAlignment="1" applyProtection="1">
      <alignment horizontal="left" vertical="top" wrapText="1" indent="1"/>
      <protection locked="0"/>
    </xf>
    <xf numFmtId="0" fontId="0" fillId="3" borderId="0" xfId="0" applyFill="1" applyBorder="1" applyAlignment="1" applyProtection="1">
      <alignment horizontal="left" vertical="top" wrapText="1" indent="1"/>
      <protection locked="0"/>
    </xf>
    <xf numFmtId="0" fontId="0" fillId="3" borderId="9" xfId="0" applyFill="1" applyBorder="1" applyAlignment="1" applyProtection="1">
      <alignment horizontal="left" vertical="top" wrapText="1" indent="1"/>
      <protection locked="0"/>
    </xf>
    <xf numFmtId="0" fontId="0" fillId="3" borderId="97" xfId="0" applyFill="1" applyBorder="1" applyAlignment="1" applyProtection="1">
      <alignment horizontal="left" vertical="top" wrapText="1" indent="1"/>
      <protection locked="0"/>
    </xf>
    <xf numFmtId="0" fontId="0" fillId="3" borderId="54" xfId="0" applyFill="1" applyBorder="1" applyAlignment="1" applyProtection="1">
      <alignment horizontal="left" vertical="top" wrapText="1" indent="1"/>
      <protection locked="0"/>
    </xf>
    <xf numFmtId="0" fontId="0" fillId="3" borderId="199" xfId="0" applyFill="1" applyBorder="1" applyAlignment="1" applyProtection="1">
      <alignment horizontal="left" vertical="top" wrapText="1" indent="1"/>
      <protection locked="0"/>
    </xf>
    <xf numFmtId="0" fontId="63" fillId="0" borderId="54" xfId="0" applyFont="1" applyBorder="1" applyAlignment="1" applyProtection="1">
      <alignment horizontal="left" vertical="top" wrapText="1" indent="1"/>
      <protection locked="0"/>
    </xf>
    <xf numFmtId="0" fontId="17" fillId="2" borderId="11" xfId="0" applyFont="1" applyFill="1" applyBorder="1" applyAlignment="1" applyProtection="1">
      <alignment horizontal="left"/>
      <protection locked="0"/>
    </xf>
    <xf numFmtId="0" fontId="17" fillId="2" borderId="0" xfId="0" applyFont="1" applyFill="1" applyBorder="1" applyAlignment="1" applyProtection="1">
      <alignment horizontal="left"/>
      <protection locked="0"/>
    </xf>
    <xf numFmtId="167" fontId="13" fillId="0" borderId="28" xfId="0" applyNumberFormat="1" applyFont="1" applyFill="1" applyBorder="1" applyAlignment="1" applyProtection="1">
      <alignment horizontal="right" vertical="center"/>
      <protection locked="0"/>
    </xf>
    <xf numFmtId="0" fontId="12" fillId="0" borderId="28" xfId="0" applyFont="1" applyBorder="1" applyAlignment="1" applyProtection="1">
      <alignment horizontal="right" vertical="center"/>
      <protection locked="0"/>
    </xf>
    <xf numFmtId="0" fontId="12" fillId="0" borderId="147" xfId="0" applyFont="1" applyFill="1" applyBorder="1" applyAlignment="1" applyProtection="1">
      <alignment horizontal="left" vertical="center"/>
    </xf>
    <xf numFmtId="0" fontId="12" fillId="0" borderId="28" xfId="0" applyFont="1" applyFill="1" applyBorder="1" applyAlignment="1" applyProtection="1">
      <alignment horizontal="left" vertical="center"/>
    </xf>
    <xf numFmtId="167" fontId="13" fillId="0" borderId="1" xfId="0" applyNumberFormat="1" applyFont="1" applyFill="1" applyBorder="1" applyAlignment="1" applyProtection="1">
      <alignment horizontal="right" vertical="center"/>
      <protection locked="0"/>
    </xf>
    <xf numFmtId="0" fontId="12" fillId="0" borderId="1" xfId="0" applyFont="1" applyBorder="1" applyAlignment="1" applyProtection="1">
      <alignment horizontal="right" vertical="center"/>
      <protection locked="0"/>
    </xf>
    <xf numFmtId="0" fontId="12" fillId="0" borderId="95" xfId="0" applyFont="1" applyFill="1" applyBorder="1" applyAlignment="1" applyProtection="1">
      <alignment horizontal="left" vertical="center"/>
    </xf>
    <xf numFmtId="0" fontId="12" fillId="0" borderId="75" xfId="0" applyFont="1" applyFill="1" applyBorder="1" applyAlignment="1" applyProtection="1">
      <alignment horizontal="left" vertical="center"/>
    </xf>
    <xf numFmtId="167" fontId="13" fillId="0" borderId="75" xfId="0" applyNumberFormat="1" applyFont="1" applyFill="1" applyBorder="1" applyAlignment="1" applyProtection="1">
      <alignment horizontal="right" vertical="center"/>
      <protection locked="0"/>
    </xf>
    <xf numFmtId="0" fontId="12" fillId="0" borderId="75" xfId="0" applyFont="1" applyBorder="1" applyAlignment="1" applyProtection="1">
      <alignment horizontal="right" vertical="center"/>
      <protection locked="0"/>
    </xf>
    <xf numFmtId="0" fontId="13" fillId="5" borderId="155" xfId="0" applyFont="1" applyFill="1" applyBorder="1" applyAlignment="1" applyProtection="1">
      <alignment horizontal="center" vertical="center" wrapText="1"/>
    </xf>
    <xf numFmtId="0" fontId="0" fillId="5" borderId="122" xfId="0" applyFill="1" applyBorder="1" applyAlignment="1" applyProtection="1">
      <alignment horizontal="center" vertical="center" wrapText="1"/>
    </xf>
    <xf numFmtId="0" fontId="0" fillId="0" borderId="122" xfId="0" applyBorder="1" applyAlignment="1" applyProtection="1">
      <alignment vertical="center" wrapText="1"/>
    </xf>
    <xf numFmtId="0" fontId="0" fillId="0" borderId="156" xfId="0" applyBorder="1" applyAlignment="1" applyProtection="1">
      <alignment vertical="center" wrapText="1"/>
    </xf>
    <xf numFmtId="0" fontId="13" fillId="5" borderId="155" xfId="0" applyFont="1" applyFill="1" applyBorder="1" applyAlignment="1" applyProtection="1">
      <alignment horizontal="left" vertical="center"/>
    </xf>
    <xf numFmtId="0" fontId="13" fillId="5" borderId="172" xfId="0" applyFont="1" applyFill="1" applyBorder="1" applyAlignment="1" applyProtection="1">
      <alignment horizontal="left" vertical="center"/>
    </xf>
    <xf numFmtId="0" fontId="13" fillId="5" borderId="122" xfId="0" applyFont="1" applyFill="1" applyBorder="1" applyAlignment="1" applyProtection="1">
      <alignment horizontal="center" vertical="center" wrapText="1"/>
    </xf>
    <xf numFmtId="0" fontId="12" fillId="0" borderId="93" xfId="0" applyFont="1" applyFill="1" applyBorder="1" applyAlignment="1" applyProtection="1">
      <alignment horizontal="left" vertical="center"/>
    </xf>
    <xf numFmtId="0" fontId="12" fillId="0" borderId="1" xfId="0" applyFont="1" applyFill="1" applyBorder="1" applyAlignment="1" applyProtection="1">
      <alignment horizontal="left" vertical="center"/>
    </xf>
    <xf numFmtId="0" fontId="2" fillId="5" borderId="122" xfId="0" applyFont="1" applyFill="1" applyBorder="1" applyAlignment="1" applyProtection="1">
      <alignment horizontal="center" vertical="center" wrapText="1"/>
    </xf>
    <xf numFmtId="0" fontId="13" fillId="3" borderId="155" xfId="0" applyFont="1" applyFill="1" applyBorder="1" applyAlignment="1" applyProtection="1">
      <alignment horizontal="left" vertical="center" wrapText="1"/>
    </xf>
    <xf numFmtId="0" fontId="2" fillId="3" borderId="172" xfId="0" applyFont="1" applyFill="1" applyBorder="1" applyAlignment="1" applyProtection="1">
      <alignment wrapText="1"/>
    </xf>
    <xf numFmtId="0" fontId="13" fillId="3" borderId="0" xfId="0" applyFont="1" applyFill="1" applyBorder="1" applyAlignment="1" applyProtection="1">
      <alignment horizontal="left" vertical="center"/>
    </xf>
    <xf numFmtId="0" fontId="2" fillId="3" borderId="0" xfId="0" applyFont="1" applyFill="1" applyBorder="1" applyAlignment="1" applyProtection="1">
      <alignment vertical="center"/>
    </xf>
    <xf numFmtId="0" fontId="44" fillId="3" borderId="0" xfId="0" applyFont="1" applyFill="1" applyBorder="1" applyAlignment="1" applyProtection="1">
      <alignment horizontal="left" vertical="center" wrapText="1"/>
    </xf>
    <xf numFmtId="0" fontId="36" fillId="0" borderId="0" xfId="0" applyFont="1" applyAlignment="1"/>
    <xf numFmtId="0" fontId="36" fillId="0" borderId="68" xfId="0" applyFont="1" applyBorder="1" applyAlignment="1"/>
    <xf numFmtId="0" fontId="12" fillId="3" borderId="172" xfId="0" applyFont="1" applyFill="1" applyBorder="1" applyAlignment="1" applyProtection="1">
      <alignment horizontal="left" vertical="center" wrapText="1"/>
      <protection locked="0"/>
    </xf>
    <xf numFmtId="0" fontId="2" fillId="3" borderId="103" xfId="0" applyFont="1" applyFill="1" applyBorder="1" applyAlignment="1" applyProtection="1">
      <alignment horizontal="left" vertical="center" wrapText="1"/>
      <protection locked="0"/>
    </xf>
    <xf numFmtId="0" fontId="2" fillId="0" borderId="103" xfId="0" applyFont="1" applyBorder="1" applyAlignment="1" applyProtection="1">
      <alignment horizontal="left" vertical="center" wrapText="1"/>
      <protection locked="0"/>
    </xf>
    <xf numFmtId="0" fontId="2" fillId="0" borderId="123" xfId="0" applyFont="1" applyBorder="1" applyAlignment="1" applyProtection="1">
      <alignment horizontal="left" vertical="center" wrapText="1"/>
      <protection locked="0"/>
    </xf>
    <xf numFmtId="0" fontId="13" fillId="14" borderId="188" xfId="0" applyFont="1" applyFill="1" applyBorder="1" applyAlignment="1" applyProtection="1">
      <alignment horizontal="left" vertical="center" wrapText="1"/>
    </xf>
    <xf numFmtId="0" fontId="0" fillId="14" borderId="88" xfId="0" applyFill="1" applyBorder="1" applyAlignment="1" applyProtection="1">
      <alignment horizontal="left" vertical="center" wrapText="1"/>
    </xf>
    <xf numFmtId="0" fontId="0" fillId="14" borderId="152" xfId="0" applyFill="1" applyBorder="1" applyAlignment="1" applyProtection="1">
      <alignment horizontal="left" vertical="center" wrapText="1"/>
    </xf>
    <xf numFmtId="0" fontId="13" fillId="5" borderId="155" xfId="0" applyFont="1" applyFill="1" applyBorder="1" applyAlignment="1" applyProtection="1">
      <alignment horizontal="left" vertical="center" wrapText="1"/>
    </xf>
    <xf numFmtId="0" fontId="36" fillId="5" borderId="172" xfId="0" applyFont="1" applyFill="1" applyBorder="1" applyAlignment="1" applyProtection="1">
      <alignment wrapText="1"/>
    </xf>
    <xf numFmtId="0" fontId="13" fillId="3" borderId="172" xfId="0" applyFont="1" applyFill="1" applyBorder="1" applyAlignment="1" applyProtection="1">
      <alignment horizontal="left" vertical="center" wrapText="1"/>
      <protection locked="0"/>
    </xf>
    <xf numFmtId="0" fontId="0" fillId="3" borderId="103" xfId="0" applyFill="1" applyBorder="1" applyAlignment="1" applyProtection="1">
      <alignment horizontal="left" vertical="center" wrapText="1"/>
      <protection locked="0"/>
    </xf>
    <xf numFmtId="0" fontId="0" fillId="0" borderId="103" xfId="0" applyBorder="1" applyAlignment="1" applyProtection="1">
      <alignment horizontal="left" vertical="center" wrapText="1"/>
      <protection locked="0"/>
    </xf>
    <xf numFmtId="0" fontId="0" fillId="0" borderId="123" xfId="0" applyBorder="1" applyAlignment="1" applyProtection="1">
      <alignment horizontal="left" vertical="center" wrapText="1"/>
      <protection locked="0"/>
    </xf>
    <xf numFmtId="0" fontId="0" fillId="5" borderId="8" xfId="0" applyFill="1" applyBorder="1" applyAlignment="1" applyProtection="1">
      <alignment horizontal="center" vertical="center" wrapText="1"/>
    </xf>
    <xf numFmtId="0" fontId="0" fillId="5" borderId="5" xfId="0" applyFill="1" applyBorder="1" applyAlignment="1" applyProtection="1">
      <alignment horizontal="center" vertical="center" wrapText="1"/>
    </xf>
    <xf numFmtId="0" fontId="13" fillId="3" borderId="150" xfId="0" applyFont="1" applyFill="1" applyBorder="1" applyAlignment="1" applyProtection="1">
      <alignment vertical="center" wrapText="1"/>
      <protection locked="0"/>
    </xf>
    <xf numFmtId="0" fontId="23" fillId="3" borderId="88" xfId="0" applyFont="1" applyFill="1" applyBorder="1" applyAlignment="1" applyProtection="1">
      <alignment vertical="center" wrapText="1"/>
      <protection locked="0"/>
    </xf>
    <xf numFmtId="0" fontId="23" fillId="3" borderId="89" xfId="0" applyFont="1" applyFill="1" applyBorder="1" applyAlignment="1" applyProtection="1">
      <alignment vertical="center" wrapText="1"/>
      <protection locked="0"/>
    </xf>
    <xf numFmtId="0" fontId="0" fillId="5" borderId="12" xfId="0" applyFill="1" applyBorder="1" applyAlignment="1" applyProtection="1">
      <alignment horizontal="center" vertical="center" wrapText="1"/>
    </xf>
    <xf numFmtId="0" fontId="13" fillId="0" borderId="98" xfId="0" applyFont="1" applyFill="1" applyBorder="1" applyAlignment="1" applyProtection="1">
      <alignment horizontal="right" vertical="center"/>
    </xf>
    <xf numFmtId="0" fontId="13" fillId="0" borderId="200" xfId="0" applyFont="1" applyFill="1" applyBorder="1" applyAlignment="1" applyProtection="1">
      <alignment horizontal="right" vertical="center"/>
    </xf>
    <xf numFmtId="167" fontId="13" fillId="0" borderId="122" xfId="0" applyNumberFormat="1" applyFont="1" applyFill="1" applyBorder="1" applyAlignment="1" applyProtection="1">
      <alignment horizontal="right" vertical="center"/>
    </xf>
    <xf numFmtId="0" fontId="12" fillId="0" borderId="122" xfId="0" applyFont="1" applyBorder="1" applyAlignment="1" applyProtection="1">
      <alignment horizontal="right" vertical="center"/>
    </xf>
    <xf numFmtId="0" fontId="13" fillId="14" borderId="90" xfId="0" applyFont="1" applyFill="1" applyBorder="1" applyAlignment="1" applyProtection="1">
      <alignment horizontal="left" vertical="center" indent="1"/>
    </xf>
    <xf numFmtId="0" fontId="13" fillId="14" borderId="8" xfId="0" applyFont="1" applyFill="1" applyBorder="1" applyAlignment="1" applyProtection="1">
      <alignment horizontal="left" vertical="center" indent="1"/>
    </xf>
    <xf numFmtId="0" fontId="13" fillId="14" borderId="91" xfId="0" applyFont="1" applyFill="1" applyBorder="1" applyAlignment="1" applyProtection="1">
      <alignment horizontal="left" vertical="center" indent="1"/>
    </xf>
    <xf numFmtId="0" fontId="13" fillId="0" borderId="94" xfId="0" applyFont="1" applyFill="1" applyBorder="1" applyAlignment="1" applyProtection="1">
      <alignment horizontal="center" vertical="center" wrapText="1"/>
      <protection locked="0"/>
    </xf>
    <xf numFmtId="0" fontId="13" fillId="0" borderId="150" xfId="0" applyFont="1" applyFill="1" applyBorder="1" applyAlignment="1" applyProtection="1">
      <alignment horizontal="center" vertical="center" wrapText="1"/>
      <protection locked="0"/>
    </xf>
    <xf numFmtId="0" fontId="12" fillId="0" borderId="94" xfId="0" applyFont="1" applyFill="1" applyBorder="1" applyAlignment="1" applyProtection="1">
      <alignment horizontal="left" vertical="center" wrapText="1"/>
      <protection locked="0"/>
    </xf>
    <xf numFmtId="0" fontId="12" fillId="0" borderId="85" xfId="0" applyFont="1" applyFill="1" applyBorder="1" applyAlignment="1" applyProtection="1">
      <alignment horizontal="left" vertical="center" wrapText="1"/>
      <protection locked="0"/>
    </xf>
    <xf numFmtId="0" fontId="12" fillId="0" borderId="96" xfId="0" applyFont="1" applyFill="1" applyBorder="1" applyAlignment="1" applyProtection="1">
      <alignment horizontal="left" vertical="center" wrapText="1"/>
      <protection locked="0"/>
    </xf>
    <xf numFmtId="0" fontId="13" fillId="0" borderId="93" xfId="0" applyFont="1" applyFill="1" applyBorder="1" applyAlignment="1" applyProtection="1">
      <alignment horizontal="center" vertical="center" wrapText="1"/>
      <protection locked="0"/>
    </xf>
    <xf numFmtId="0" fontId="13" fillId="0" borderId="13" xfId="0" applyFont="1" applyFill="1" applyBorder="1" applyAlignment="1" applyProtection="1">
      <alignment horizontal="center" vertical="center" wrapText="1"/>
      <protection locked="0"/>
    </xf>
    <xf numFmtId="0" fontId="12" fillId="0" borderId="93"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0" fontId="12" fillId="0" borderId="4" xfId="0" applyFont="1" applyFill="1" applyBorder="1" applyAlignment="1" applyProtection="1">
      <alignment horizontal="left" vertical="center" wrapText="1"/>
      <protection locked="0"/>
    </xf>
    <xf numFmtId="0" fontId="13" fillId="5" borderId="69" xfId="0" applyFont="1" applyFill="1" applyBorder="1" applyAlignment="1" applyProtection="1">
      <alignment horizontal="center" vertical="center" wrapText="1"/>
    </xf>
    <xf numFmtId="0" fontId="13" fillId="5" borderId="98" xfId="0" applyFont="1" applyFill="1" applyBorder="1" applyAlignment="1" applyProtection="1">
      <alignment horizontal="center" vertical="center" wrapText="1"/>
    </xf>
    <xf numFmtId="0" fontId="26" fillId="0" borderId="32" xfId="0" applyFont="1" applyFill="1" applyBorder="1" applyAlignment="1" applyProtection="1">
      <alignment horizontal="left" vertical="center" wrapText="1"/>
    </xf>
    <xf numFmtId="0" fontId="28" fillId="0" borderId="38" xfId="0" applyFont="1" applyFill="1" applyBorder="1" applyAlignment="1" applyProtection="1">
      <alignment horizontal="left" vertical="center" wrapText="1"/>
    </xf>
    <xf numFmtId="0" fontId="17" fillId="2" borderId="11" xfId="0" applyFont="1" applyFill="1" applyBorder="1" applyAlignment="1" applyProtection="1">
      <alignment horizontal="left" wrapText="1"/>
    </xf>
    <xf numFmtId="0" fontId="0" fillId="0" borderId="0" xfId="0" applyAlignment="1" applyProtection="1">
      <alignment wrapText="1"/>
    </xf>
    <xf numFmtId="0" fontId="11" fillId="2" borderId="49" xfId="0" applyFont="1" applyFill="1" applyBorder="1" applyAlignment="1" applyProtection="1">
      <alignment horizontal="left"/>
    </xf>
    <xf numFmtId="0" fontId="13" fillId="4" borderId="14" xfId="0" applyFont="1" applyFill="1" applyBorder="1" applyAlignment="1" applyProtection="1">
      <alignment horizontal="left" indent="1"/>
    </xf>
    <xf numFmtId="0" fontId="13" fillId="4" borderId="49" xfId="0" applyFont="1" applyFill="1" applyBorder="1" applyAlignment="1" applyProtection="1">
      <alignment horizontal="left" indent="1"/>
    </xf>
    <xf numFmtId="0" fontId="13" fillId="4" borderId="87" xfId="0" applyFont="1" applyFill="1" applyBorder="1" applyAlignment="1" applyProtection="1">
      <alignment horizontal="left" indent="1"/>
    </xf>
    <xf numFmtId="0" fontId="15" fillId="4" borderId="150" xfId="0" applyFont="1" applyFill="1" applyBorder="1" applyAlignment="1" applyProtection="1">
      <alignment horizontal="left" indent="1"/>
    </xf>
    <xf numFmtId="0" fontId="15" fillId="4" borderId="88" xfId="0" applyFont="1" applyFill="1" applyBorder="1" applyAlignment="1" applyProtection="1">
      <alignment horizontal="left" indent="1"/>
    </xf>
    <xf numFmtId="0" fontId="15" fillId="4" borderId="89" xfId="0" applyFont="1" applyFill="1" applyBorder="1" applyAlignment="1" applyProtection="1">
      <alignment horizontal="left" indent="1"/>
    </xf>
    <xf numFmtId="0" fontId="12" fillId="0" borderId="1" xfId="0" applyFont="1" applyBorder="1" applyAlignment="1" applyProtection="1">
      <alignment horizontal="left" wrapText="1"/>
      <protection locked="0"/>
    </xf>
    <xf numFmtId="0" fontId="12" fillId="0" borderId="4" xfId="0" applyFont="1" applyBorder="1" applyAlignment="1" applyProtection="1">
      <alignment horizontal="left" wrapText="1"/>
      <protection locked="0"/>
    </xf>
    <xf numFmtId="0" fontId="12" fillId="0" borderId="27" xfId="0" applyFont="1" applyBorder="1" applyAlignment="1" applyProtection="1">
      <alignment horizontal="left"/>
      <protection locked="0"/>
    </xf>
    <xf numFmtId="0" fontId="12" fillId="0" borderId="148" xfId="0" applyFont="1" applyBorder="1" applyAlignment="1" applyProtection="1">
      <alignment horizontal="left"/>
      <protection locked="0"/>
    </xf>
    <xf numFmtId="0" fontId="0" fillId="3" borderId="16" xfId="0" applyFill="1" applyBorder="1" applyAlignment="1" applyProtection="1">
      <alignment horizontal="left" vertical="center" wrapText="1"/>
    </xf>
    <xf numFmtId="0" fontId="0" fillId="3" borderId="6" xfId="0" applyFill="1" applyBorder="1" applyAlignment="1" applyProtection="1">
      <alignment horizontal="left" vertical="center" wrapText="1"/>
    </xf>
    <xf numFmtId="0" fontId="23" fillId="3" borderId="3" xfId="0" applyFont="1" applyFill="1" applyBorder="1" applyAlignment="1" applyProtection="1">
      <alignment horizontal="center" vertical="center" wrapText="1"/>
    </xf>
    <xf numFmtId="0" fontId="36" fillId="3" borderId="3" xfId="0" applyFont="1" applyFill="1" applyBorder="1" applyAlignment="1" applyProtection="1">
      <alignment wrapText="1"/>
    </xf>
    <xf numFmtId="0" fontId="36" fillId="3" borderId="12" xfId="0" applyFont="1" applyFill="1" applyBorder="1" applyAlignment="1" applyProtection="1">
      <alignment wrapText="1"/>
    </xf>
    <xf numFmtId="0" fontId="12" fillId="3" borderId="148" xfId="0" applyFont="1" applyFill="1" applyBorder="1" applyAlignment="1" applyProtection="1">
      <alignment horizontal="left" vertical="center" wrapText="1"/>
      <protection locked="0"/>
    </xf>
    <xf numFmtId="0" fontId="12" fillId="3" borderId="154"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xf>
    <xf numFmtId="0" fontId="32" fillId="3" borderId="100" xfId="0" applyFont="1" applyFill="1" applyBorder="1" applyAlignment="1" applyProtection="1">
      <alignment horizontal="left" vertical="center" wrapText="1"/>
    </xf>
    <xf numFmtId="0" fontId="32" fillId="3" borderId="27" xfId="0" applyFont="1" applyFill="1" applyBorder="1" applyAlignment="1" applyProtection="1">
      <alignment horizontal="left" vertical="center" wrapText="1"/>
    </xf>
    <xf numFmtId="0" fontId="32" fillId="3" borderId="25" xfId="0" applyFont="1" applyFill="1" applyBorder="1" applyAlignment="1" applyProtection="1">
      <alignment horizontal="left" vertical="center" wrapText="1"/>
    </xf>
    <xf numFmtId="0" fontId="2" fillId="3" borderId="0" xfId="0" applyFont="1" applyFill="1" applyBorder="1" applyAlignment="1" applyProtection="1">
      <alignment vertical="center" wrapText="1"/>
    </xf>
    <xf numFmtId="0" fontId="0" fillId="3" borderId="0" xfId="0" applyFill="1" applyBorder="1" applyAlignment="1" applyProtection="1">
      <alignment vertical="center" wrapText="1"/>
    </xf>
    <xf numFmtId="0" fontId="0" fillId="3" borderId="9" xfId="0" applyFill="1" applyBorder="1" applyAlignment="1" applyProtection="1">
      <alignment vertical="center" wrapText="1"/>
    </xf>
    <xf numFmtId="0" fontId="2" fillId="3" borderId="16" xfId="0" applyFont="1" applyFill="1" applyBorder="1" applyAlignment="1" applyProtection="1">
      <alignment vertical="center" wrapText="1"/>
    </xf>
    <xf numFmtId="0" fontId="0" fillId="3" borderId="16" xfId="0" applyFill="1" applyBorder="1" applyAlignment="1" applyProtection="1">
      <alignment vertical="center" wrapText="1"/>
    </xf>
    <xf numFmtId="0" fontId="0" fillId="3" borderId="6" xfId="0" applyFill="1" applyBorder="1" applyAlignment="1" applyProtection="1">
      <alignment vertical="center" wrapText="1"/>
    </xf>
    <xf numFmtId="3" fontId="12" fillId="4" borderId="28" xfId="0" applyNumberFormat="1" applyFont="1" applyFill="1" applyBorder="1" applyAlignment="1" applyProtection="1">
      <alignment horizontal="center" vertical="center"/>
    </xf>
    <xf numFmtId="0" fontId="12" fillId="0" borderId="75" xfId="0" applyFont="1" applyBorder="1" applyAlignment="1" applyProtection="1">
      <alignment vertical="center"/>
    </xf>
    <xf numFmtId="0" fontId="0" fillId="0" borderId="100" xfId="0" applyBorder="1" applyAlignment="1" applyProtection="1">
      <alignment vertical="center" wrapText="1"/>
    </xf>
    <xf numFmtId="0" fontId="0" fillId="0" borderId="27" xfId="0" applyBorder="1" applyAlignment="1" applyProtection="1">
      <alignment vertical="center" wrapText="1"/>
    </xf>
    <xf numFmtId="3" fontId="12" fillId="3" borderId="18" xfId="0" applyNumberFormat="1" applyFont="1" applyFill="1" applyBorder="1" applyAlignment="1" applyProtection="1">
      <alignment horizontal="center" vertical="center"/>
      <protection locked="0"/>
    </xf>
    <xf numFmtId="3" fontId="12" fillId="3" borderId="22" xfId="0" applyNumberFormat="1" applyFont="1" applyFill="1" applyBorder="1" applyAlignment="1" applyProtection="1">
      <alignment horizontal="center" vertical="center"/>
      <protection locked="0"/>
    </xf>
    <xf numFmtId="0" fontId="12" fillId="3" borderId="85" xfId="0" applyFont="1" applyFill="1" applyBorder="1" applyAlignment="1" applyProtection="1">
      <alignment horizontal="left" vertical="center" wrapText="1"/>
      <protection locked="0"/>
    </xf>
    <xf numFmtId="0" fontId="12" fillId="0" borderId="85" xfId="0" applyFont="1" applyBorder="1" applyAlignment="1" applyProtection="1">
      <alignment horizontal="left" wrapText="1"/>
      <protection locked="0"/>
    </xf>
    <xf numFmtId="0" fontId="12" fillId="0" borderId="96" xfId="0" applyFont="1" applyBorder="1" applyAlignment="1" applyProtection="1">
      <alignment horizontal="left" wrapText="1"/>
      <protection locked="0"/>
    </xf>
    <xf numFmtId="0" fontId="2" fillId="3" borderId="205" xfId="0" applyFont="1" applyFill="1" applyBorder="1" applyAlignment="1" applyProtection="1">
      <alignment horizontal="left" vertical="center" wrapText="1"/>
    </xf>
    <xf numFmtId="0" fontId="0" fillId="3" borderId="205" xfId="0" applyFill="1" applyBorder="1" applyAlignment="1" applyProtection="1">
      <alignment horizontal="left" vertical="center" wrapText="1"/>
    </xf>
    <xf numFmtId="0" fontId="0" fillId="3" borderId="206" xfId="0" applyFill="1" applyBorder="1" applyAlignment="1" applyProtection="1">
      <alignment horizontal="left" vertical="center" wrapText="1"/>
    </xf>
    <xf numFmtId="0" fontId="2" fillId="3" borderId="54" xfId="0" applyFont="1" applyFill="1" applyBorder="1" applyAlignment="1" applyProtection="1">
      <alignment vertical="center" wrapText="1"/>
    </xf>
    <xf numFmtId="0" fontId="0" fillId="3" borderId="54" xfId="0" applyFill="1" applyBorder="1" applyAlignment="1" applyProtection="1">
      <alignment vertical="center" wrapText="1"/>
    </xf>
    <xf numFmtId="0" fontId="2" fillId="3" borderId="188" xfId="0" applyFont="1" applyFill="1" applyBorder="1" applyAlignment="1" applyProtection="1">
      <alignment horizontal="left" vertical="center" wrapText="1"/>
    </xf>
    <xf numFmtId="0" fontId="2" fillId="3" borderId="152" xfId="0" applyFont="1" applyFill="1" applyBorder="1" applyAlignment="1" applyProtection="1">
      <alignment horizontal="left" vertical="center" wrapText="1"/>
    </xf>
    <xf numFmtId="0" fontId="2" fillId="3" borderId="54" xfId="0" applyFont="1" applyFill="1" applyBorder="1" applyAlignment="1" applyProtection="1">
      <alignment horizontal="left" vertical="center" wrapText="1"/>
    </xf>
    <xf numFmtId="0" fontId="0" fillId="3" borderId="54" xfId="0" applyFill="1" applyBorder="1" applyAlignment="1" applyProtection="1">
      <alignment horizontal="left" vertical="center" wrapText="1"/>
    </xf>
    <xf numFmtId="0" fontId="0" fillId="3" borderId="199" xfId="0" applyFill="1" applyBorder="1" applyAlignment="1" applyProtection="1">
      <alignment horizontal="left" vertical="center" wrapText="1"/>
    </xf>
    <xf numFmtId="0" fontId="23" fillId="0" borderId="17" xfId="17" applyFont="1" applyBorder="1" applyAlignment="1">
      <alignment horizontal="center"/>
    </xf>
    <xf numFmtId="0" fontId="23" fillId="0" borderId="0" xfId="17" applyFont="1" applyBorder="1" applyAlignment="1">
      <alignment horizontal="center"/>
    </xf>
    <xf numFmtId="0" fontId="23" fillId="0" borderId="78" xfId="17" applyFont="1" applyBorder="1" applyAlignment="1">
      <alignment horizontal="center"/>
    </xf>
    <xf numFmtId="0" fontId="23" fillId="0" borderId="207" xfId="17" applyFont="1" applyBorder="1" applyAlignment="1">
      <alignment horizontal="center"/>
    </xf>
    <xf numFmtId="0" fontId="12" fillId="0" borderId="24" xfId="0" applyFont="1" applyFill="1" applyBorder="1" applyAlignment="1" applyProtection="1">
      <alignment horizontal="left" wrapText="1"/>
    </xf>
    <xf numFmtId="0" fontId="12" fillId="0" borderId="205" xfId="0" applyFont="1" applyFill="1" applyBorder="1" applyAlignment="1" applyProtection="1">
      <alignment horizontal="left" wrapText="1"/>
    </xf>
    <xf numFmtId="0" fontId="12" fillId="3" borderId="76" xfId="0" applyFont="1" applyFill="1" applyBorder="1" applyAlignment="1" applyProtection="1">
      <alignment horizontal="left" vertical="center" wrapText="1"/>
      <protection locked="0"/>
    </xf>
    <xf numFmtId="0" fontId="12" fillId="3" borderId="49" xfId="0" applyFont="1" applyFill="1" applyBorder="1" applyAlignment="1" applyProtection="1">
      <alignment horizontal="left" vertical="center" wrapText="1"/>
      <protection locked="0"/>
    </xf>
    <xf numFmtId="0" fontId="12" fillId="3" borderId="87" xfId="0" applyFont="1" applyFill="1" applyBorder="1" applyAlignment="1" applyProtection="1">
      <alignment horizontal="left" vertical="center" wrapText="1"/>
      <protection locked="0"/>
    </xf>
    <xf numFmtId="0" fontId="12" fillId="3" borderId="11" xfId="0" applyFont="1" applyFill="1" applyBorder="1" applyAlignment="1" applyProtection="1">
      <alignment horizontal="left" vertical="center" wrapText="1"/>
      <protection locked="0"/>
    </xf>
    <xf numFmtId="0" fontId="12" fillId="3" borderId="117" xfId="0" applyFont="1" applyFill="1" applyBorder="1" applyAlignment="1" applyProtection="1">
      <alignment horizontal="left" vertical="center" wrapText="1"/>
      <protection locked="0"/>
    </xf>
    <xf numFmtId="0" fontId="12" fillId="3" borderId="7" xfId="0" applyFont="1" applyFill="1" applyBorder="1" applyAlignment="1" applyProtection="1">
      <alignment horizontal="left" vertical="center" wrapText="1"/>
      <protection locked="0"/>
    </xf>
    <xf numFmtId="0" fontId="12" fillId="3" borderId="10" xfId="0" applyFont="1" applyFill="1" applyBorder="1" applyAlignment="1" applyProtection="1">
      <alignment horizontal="left" vertical="center" wrapText="1"/>
      <protection locked="0"/>
    </xf>
    <xf numFmtId="0" fontId="12" fillId="3" borderId="142" xfId="0" applyFont="1" applyFill="1" applyBorder="1" applyAlignment="1" applyProtection="1">
      <alignment horizontal="left" vertical="center" wrapText="1"/>
      <protection locked="0"/>
    </xf>
    <xf numFmtId="0" fontId="12" fillId="0" borderId="211" xfId="0" applyFont="1" applyFill="1" applyBorder="1" applyAlignment="1" applyProtection="1">
      <alignment horizontal="left" wrapText="1"/>
    </xf>
    <xf numFmtId="0" fontId="12" fillId="0" borderId="27" xfId="0" applyFont="1" applyFill="1" applyBorder="1" applyAlignment="1" applyProtection="1">
      <alignment horizontal="left" wrapText="1"/>
    </xf>
    <xf numFmtId="0" fontId="12" fillId="0" borderId="25" xfId="0" applyFont="1" applyFill="1" applyBorder="1" applyAlignment="1" applyProtection="1">
      <alignment horizontal="left" wrapText="1"/>
    </xf>
    <xf numFmtId="0" fontId="12" fillId="0" borderId="212" xfId="0" applyFont="1" applyFill="1" applyBorder="1" applyAlignment="1" applyProtection="1">
      <alignment horizontal="left" wrapText="1"/>
    </xf>
    <xf numFmtId="0" fontId="12" fillId="0" borderId="213" xfId="0" applyFont="1" applyFill="1" applyBorder="1" applyAlignment="1" applyProtection="1">
      <alignment horizontal="left" wrapText="1"/>
    </xf>
    <xf numFmtId="0" fontId="12" fillId="0" borderId="214" xfId="0" applyFont="1" applyFill="1" applyBorder="1" applyAlignment="1" applyProtection="1">
      <alignment horizontal="left" wrapText="1"/>
    </xf>
    <xf numFmtId="0" fontId="12" fillId="3" borderId="13" xfId="0" applyFont="1" applyFill="1" applyBorder="1" applyAlignment="1" applyProtection="1">
      <alignment horizontal="center" vertical="center" wrapText="1"/>
      <protection locked="0"/>
    </xf>
    <xf numFmtId="0" fontId="12" fillId="3" borderId="16" xfId="0" applyFont="1" applyFill="1" applyBorder="1" applyAlignment="1" applyProtection="1">
      <alignment horizontal="center" vertical="center" wrapText="1"/>
      <protection locked="0"/>
    </xf>
    <xf numFmtId="0" fontId="12" fillId="3" borderId="6" xfId="0" applyFont="1" applyFill="1" applyBorder="1" applyAlignment="1" applyProtection="1">
      <alignment horizontal="center" vertical="center" wrapText="1"/>
      <protection locked="0"/>
    </xf>
    <xf numFmtId="0" fontId="13" fillId="3" borderId="41" xfId="0" applyFont="1" applyFill="1" applyBorder="1" applyAlignment="1" applyProtection="1">
      <alignment horizontal="center" vertical="center"/>
    </xf>
    <xf numFmtId="0" fontId="13" fillId="3" borderId="38" xfId="0" applyFont="1" applyFill="1" applyBorder="1" applyAlignment="1" applyProtection="1">
      <alignment horizontal="center" vertical="center"/>
    </xf>
    <xf numFmtId="0" fontId="13" fillId="3" borderId="48" xfId="0" applyFont="1" applyFill="1" applyBorder="1" applyAlignment="1" applyProtection="1">
      <alignment horizontal="center" vertical="center"/>
    </xf>
    <xf numFmtId="0" fontId="12" fillId="0" borderId="111" xfId="0" applyFont="1" applyFill="1" applyBorder="1" applyAlignment="1" applyProtection="1">
      <alignment horizontal="left"/>
    </xf>
    <xf numFmtId="0" fontId="12" fillId="0" borderId="84" xfId="0" applyFont="1" applyFill="1" applyBorder="1" applyAlignment="1" applyProtection="1">
      <alignment horizontal="left"/>
    </xf>
    <xf numFmtId="0" fontId="23" fillId="5" borderId="13" xfId="0" applyFont="1" applyFill="1" applyBorder="1" applyAlignment="1" applyProtection="1">
      <alignment horizontal="center" vertical="center"/>
    </xf>
    <xf numFmtId="0" fontId="23" fillId="5" borderId="16" xfId="0" applyFont="1" applyFill="1" applyBorder="1" applyAlignment="1" applyProtection="1">
      <alignment horizontal="center" vertical="center"/>
    </xf>
    <xf numFmtId="0" fontId="23" fillId="5" borderId="6" xfId="0" applyFont="1" applyFill="1" applyBorder="1" applyAlignment="1" applyProtection="1">
      <alignment horizontal="center" vertical="center"/>
    </xf>
    <xf numFmtId="0" fontId="12" fillId="3" borderId="13" xfId="0" applyFont="1" applyFill="1" applyBorder="1" applyAlignment="1" applyProtection="1">
      <alignment horizontal="center" vertical="center"/>
      <protection locked="0"/>
    </xf>
    <xf numFmtId="0" fontId="12" fillId="3" borderId="16"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protection locked="0"/>
    </xf>
    <xf numFmtId="0" fontId="23" fillId="5" borderId="13" xfId="0" applyFont="1" applyFill="1" applyBorder="1" applyAlignment="1" applyProtection="1">
      <alignment horizontal="center" vertical="center" wrapText="1"/>
    </xf>
    <xf numFmtId="0" fontId="23" fillId="5" borderId="16" xfId="0" applyFont="1" applyFill="1" applyBorder="1" applyAlignment="1" applyProtection="1">
      <alignment horizontal="center" vertical="center" wrapText="1"/>
    </xf>
    <xf numFmtId="0" fontId="23" fillId="5" borderId="6" xfId="0" applyFont="1" applyFill="1" applyBorder="1" applyAlignment="1" applyProtection="1">
      <alignment horizontal="center" vertical="center" wrapText="1"/>
    </xf>
    <xf numFmtId="0" fontId="85" fillId="4" borderId="23" xfId="0" applyNumberFormat="1" applyFont="1" applyFill="1" applyBorder="1" applyAlignment="1" applyProtection="1">
      <alignment horizontal="left" vertical="center" wrapText="1"/>
    </xf>
    <xf numFmtId="0" fontId="85" fillId="4" borderId="27" xfId="0" applyNumberFormat="1" applyFont="1" applyFill="1" applyBorder="1" applyAlignment="1" applyProtection="1">
      <alignment horizontal="left" vertical="center" wrapText="1"/>
    </xf>
    <xf numFmtId="0" fontId="85" fillId="4" borderId="25" xfId="0" applyNumberFormat="1" applyFont="1" applyFill="1" applyBorder="1" applyAlignment="1" applyProtection="1">
      <alignment horizontal="left" vertical="center" wrapText="1"/>
    </xf>
    <xf numFmtId="0" fontId="85" fillId="4" borderId="97" xfId="0" applyNumberFormat="1" applyFont="1" applyFill="1" applyBorder="1" applyAlignment="1" applyProtection="1">
      <alignment horizontal="left" vertical="center" wrapText="1"/>
    </xf>
    <xf numFmtId="0" fontId="85" fillId="4" borderId="54" xfId="0" applyNumberFormat="1" applyFont="1" applyFill="1" applyBorder="1" applyAlignment="1" applyProtection="1">
      <alignment horizontal="left" vertical="center" wrapText="1"/>
    </xf>
    <xf numFmtId="0" fontId="85" fillId="4" borderId="199" xfId="0" applyNumberFormat="1" applyFont="1" applyFill="1" applyBorder="1" applyAlignment="1" applyProtection="1">
      <alignment horizontal="left" vertical="center" wrapText="1"/>
    </xf>
    <xf numFmtId="0" fontId="12" fillId="3" borderId="16" xfId="0" applyFont="1" applyFill="1" applyBorder="1" applyAlignment="1" applyProtection="1">
      <alignment horizontal="left" vertical="center" wrapText="1"/>
      <protection locked="0"/>
    </xf>
    <xf numFmtId="0" fontId="12" fillId="3" borderId="6" xfId="0" applyFont="1" applyFill="1" applyBorder="1" applyAlignment="1" applyProtection="1">
      <alignment horizontal="left" vertical="center" wrapText="1"/>
      <protection locked="0"/>
    </xf>
    <xf numFmtId="0" fontId="13" fillId="0" borderId="23" xfId="0" applyFont="1" applyFill="1" applyBorder="1" applyAlignment="1" applyProtection="1">
      <alignment horizontal="left" vertical="center" wrapText="1" indent="1"/>
    </xf>
    <xf numFmtId="0" fontId="13" fillId="0" borderId="27" xfId="0" applyFont="1" applyFill="1" applyBorder="1" applyAlignment="1" applyProtection="1">
      <alignment horizontal="left" vertical="center" wrapText="1" indent="1"/>
    </xf>
    <xf numFmtId="0" fontId="13" fillId="0" borderId="25" xfId="0" applyFont="1" applyFill="1" applyBorder="1" applyAlignment="1" applyProtection="1">
      <alignment horizontal="left" vertical="center" wrapText="1" indent="1"/>
    </xf>
    <xf numFmtId="0" fontId="13" fillId="0" borderId="97" xfId="0" applyFont="1" applyFill="1" applyBorder="1" applyAlignment="1" applyProtection="1">
      <alignment horizontal="left" vertical="center" wrapText="1" indent="1"/>
    </xf>
    <xf numFmtId="0" fontId="13" fillId="0" borderId="54" xfId="0" applyFont="1" applyFill="1" applyBorder="1" applyAlignment="1" applyProtection="1">
      <alignment horizontal="left" vertical="center" wrapText="1" indent="1"/>
    </xf>
    <xf numFmtId="0" fontId="13" fillId="0" borderId="199" xfId="0" applyFont="1" applyFill="1" applyBorder="1" applyAlignment="1" applyProtection="1">
      <alignment horizontal="left" vertical="center" wrapText="1" indent="1"/>
    </xf>
    <xf numFmtId="0" fontId="15" fillId="0" borderId="208" xfId="0" applyFont="1" applyFill="1" applyBorder="1" applyAlignment="1" applyProtection="1">
      <alignment horizontal="center" vertical="center"/>
    </xf>
    <xf numFmtId="0" fontId="15" fillId="0" borderId="209" xfId="0" applyFont="1" applyFill="1" applyBorder="1" applyAlignment="1" applyProtection="1">
      <alignment horizontal="center" vertical="center"/>
    </xf>
    <xf numFmtId="0" fontId="15" fillId="0" borderId="210" xfId="0" applyFont="1" applyFill="1" applyBorder="1" applyAlignment="1" applyProtection="1">
      <alignment horizontal="center" vertical="center"/>
    </xf>
    <xf numFmtId="0" fontId="12" fillId="3" borderId="111" xfId="0" applyFont="1" applyFill="1" applyBorder="1" applyAlignment="1" applyProtection="1">
      <alignment horizontal="left"/>
    </xf>
    <xf numFmtId="0" fontId="12" fillId="3" borderId="84" xfId="0" applyFont="1" applyFill="1" applyBorder="1" applyAlignment="1" applyProtection="1">
      <alignment horizontal="left"/>
    </xf>
    <xf numFmtId="0" fontId="12" fillId="4" borderId="23" xfId="0" applyFont="1" applyFill="1" applyBorder="1" applyAlignment="1" applyProtection="1">
      <alignment horizontal="left" vertical="center" wrapText="1"/>
    </xf>
    <xf numFmtId="0" fontId="12" fillId="4" borderId="27" xfId="0" applyFont="1" applyFill="1" applyBorder="1" applyAlignment="1" applyProtection="1">
      <alignment horizontal="left" vertical="center" wrapText="1"/>
    </xf>
    <xf numFmtId="0" fontId="12" fillId="4" borderId="25" xfId="0" applyFont="1" applyFill="1" applyBorder="1" applyAlignment="1" applyProtection="1">
      <alignment horizontal="left" vertical="center" wrapText="1"/>
    </xf>
    <xf numFmtId="0" fontId="12" fillId="4" borderId="97" xfId="0" applyFont="1" applyFill="1" applyBorder="1" applyAlignment="1" applyProtection="1">
      <alignment horizontal="left" vertical="center" wrapText="1"/>
    </xf>
    <xf numFmtId="0" fontId="12" fillId="4" borderId="54" xfId="0" applyFont="1" applyFill="1" applyBorder="1" applyAlignment="1" applyProtection="1">
      <alignment horizontal="left" vertical="center" wrapText="1"/>
    </xf>
    <xf numFmtId="0" fontId="12" fillId="4" borderId="199" xfId="0" applyFont="1" applyFill="1" applyBorder="1" applyAlignment="1" applyProtection="1">
      <alignment horizontal="left" vertical="center" wrapText="1"/>
    </xf>
    <xf numFmtId="0" fontId="13" fillId="3" borderId="0" xfId="0" applyFont="1" applyFill="1" applyBorder="1" applyAlignment="1" applyProtection="1">
      <alignment horizontal="left" wrapText="1"/>
    </xf>
    <xf numFmtId="0" fontId="2" fillId="3" borderId="68" xfId="0" applyFont="1" applyFill="1" applyBorder="1" applyAlignment="1">
      <alignment wrapText="1"/>
    </xf>
    <xf numFmtId="0" fontId="12" fillId="4" borderId="172" xfId="0" applyFont="1" applyFill="1" applyBorder="1" applyAlignment="1" applyProtection="1">
      <alignment horizontal="left" vertical="center"/>
    </xf>
    <xf numFmtId="0" fontId="12" fillId="4" borderId="103" xfId="0" applyFont="1" applyFill="1" applyBorder="1" applyAlignment="1" applyProtection="1">
      <alignment horizontal="left" vertical="center"/>
    </xf>
    <xf numFmtId="0" fontId="11" fillId="0" borderId="34" xfId="0" applyFont="1" applyFill="1" applyBorder="1" applyAlignment="1" applyProtection="1">
      <alignment horizontal="center"/>
    </xf>
    <xf numFmtId="0" fontId="12" fillId="3" borderId="67" xfId="0" applyFont="1" applyFill="1" applyBorder="1" applyAlignment="1" applyProtection="1">
      <alignment horizontal="left" vertical="center" wrapText="1"/>
      <protection locked="0"/>
    </xf>
    <xf numFmtId="0" fontId="12" fillId="3" borderId="35" xfId="0" applyFont="1" applyFill="1" applyBorder="1" applyAlignment="1" applyProtection="1">
      <alignment horizontal="left" vertical="center" wrapText="1"/>
      <protection locked="0"/>
    </xf>
    <xf numFmtId="0" fontId="12" fillId="3" borderId="217"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xf>
    <xf numFmtId="0" fontId="40" fillId="3" borderId="0" xfId="0" applyFont="1" applyFill="1" applyBorder="1" applyAlignment="1" applyProtection="1">
      <alignment horizontal="left" vertical="center"/>
    </xf>
    <xf numFmtId="0" fontId="11" fillId="20" borderId="215" xfId="0" applyFont="1" applyFill="1" applyBorder="1" applyAlignment="1" applyProtection="1">
      <alignment horizontal="left" vertical="center"/>
    </xf>
    <xf numFmtId="0" fontId="40" fillId="20" borderId="40" xfId="0" applyFont="1" applyFill="1" applyBorder="1" applyAlignment="1" applyProtection="1">
      <alignment horizontal="left" vertical="center"/>
    </xf>
    <xf numFmtId="0" fontId="40" fillId="20" borderId="216" xfId="0" applyFont="1" applyFill="1" applyBorder="1" applyAlignment="1" applyProtection="1">
      <alignment horizontal="left" vertical="center"/>
    </xf>
    <xf numFmtId="0" fontId="40" fillId="20" borderId="218" xfId="0" applyFont="1" applyFill="1" applyBorder="1" applyAlignment="1" applyProtection="1">
      <alignment vertical="center"/>
    </xf>
    <xf numFmtId="0" fontId="0" fillId="0" borderId="50" xfId="0" applyBorder="1" applyAlignment="1" applyProtection="1"/>
    <xf numFmtId="0" fontId="0" fillId="0" borderId="219" xfId="0" applyBorder="1" applyAlignment="1" applyProtection="1"/>
    <xf numFmtId="0" fontId="11" fillId="20" borderId="173" xfId="0" applyFont="1" applyFill="1" applyBorder="1" applyAlignment="1" applyProtection="1">
      <alignment horizontal="left"/>
    </xf>
    <xf numFmtId="0" fontId="46" fillId="0" borderId="120" xfId="0" applyFont="1" applyBorder="1" applyAlignment="1" applyProtection="1">
      <alignment horizontal="left"/>
    </xf>
    <xf numFmtId="0" fontId="46" fillId="0" borderId="15" xfId="0" applyFont="1" applyBorder="1" applyAlignment="1" applyProtection="1">
      <alignment horizontal="left"/>
    </xf>
    <xf numFmtId="0" fontId="6" fillId="3" borderId="0" xfId="0" applyFont="1" applyFill="1" applyBorder="1" applyAlignment="1" applyProtection="1">
      <alignment horizontal="left"/>
    </xf>
    <xf numFmtId="0" fontId="0" fillId="3" borderId="0" xfId="0" applyFill="1" applyBorder="1" applyAlignment="1" applyProtection="1">
      <alignment horizontal="left"/>
    </xf>
    <xf numFmtId="2" fontId="44" fillId="0" borderId="0" xfId="0" applyNumberFormat="1" applyFont="1" applyFill="1" applyBorder="1" applyAlignment="1" applyProtection="1">
      <alignment horizontal="left" wrapText="1" indent="2"/>
    </xf>
    <xf numFmtId="2" fontId="54" fillId="0" borderId="0" xfId="0" applyNumberFormat="1" applyFont="1" applyFill="1" applyBorder="1" applyAlignment="1" applyProtection="1">
      <alignment horizontal="left" wrapText="1" indent="2"/>
    </xf>
    <xf numFmtId="0" fontId="12" fillId="3" borderId="1" xfId="0" applyFont="1" applyFill="1" applyBorder="1" applyAlignment="1" applyProtection="1">
      <alignment horizontal="left" vertical="top" wrapText="1"/>
      <protection locked="0"/>
    </xf>
    <xf numFmtId="0" fontId="12" fillId="3" borderId="13" xfId="0" applyFont="1" applyFill="1" applyBorder="1" applyAlignment="1" applyProtection="1">
      <alignment vertical="center" wrapText="1"/>
      <protection locked="0"/>
    </xf>
    <xf numFmtId="0" fontId="12" fillId="3" borderId="16" xfId="0" applyFont="1" applyFill="1" applyBorder="1" applyAlignment="1" applyProtection="1">
      <alignment vertical="center" wrapText="1"/>
      <protection locked="0"/>
    </xf>
    <xf numFmtId="0" fontId="12" fillId="3" borderId="6" xfId="0" applyFont="1" applyFill="1" applyBorder="1" applyAlignment="1" applyProtection="1">
      <alignment vertical="center" wrapText="1"/>
      <protection locked="0"/>
    </xf>
    <xf numFmtId="0" fontId="11" fillId="2" borderId="121" xfId="0" applyFont="1" applyFill="1" applyBorder="1" applyAlignment="1" applyProtection="1">
      <alignment horizontal="left" vertical="center"/>
    </xf>
    <xf numFmtId="0" fontId="11" fillId="2" borderId="8" xfId="0" applyFont="1" applyFill="1" applyBorder="1" applyAlignment="1" applyProtection="1">
      <alignment horizontal="left" vertical="center"/>
    </xf>
    <xf numFmtId="0" fontId="11" fillId="2" borderId="5" xfId="0" applyFont="1" applyFill="1" applyBorder="1" applyAlignment="1" applyProtection="1">
      <alignment horizontal="left" vertical="center"/>
    </xf>
    <xf numFmtId="0" fontId="4" fillId="3" borderId="13" xfId="0" applyFont="1" applyFill="1" applyBorder="1" applyAlignment="1" applyProtection="1">
      <alignment horizontal="left"/>
    </xf>
    <xf numFmtId="0" fontId="4" fillId="3" borderId="16" xfId="0" applyFont="1" applyFill="1" applyBorder="1" applyAlignment="1" applyProtection="1">
      <alignment horizontal="left"/>
    </xf>
    <xf numFmtId="0" fontId="4" fillId="3" borderId="6" xfId="0" applyFont="1" applyFill="1" applyBorder="1" applyAlignment="1" applyProtection="1">
      <alignment horizontal="left"/>
    </xf>
    <xf numFmtId="0" fontId="92" fillId="3" borderId="0" xfId="0" applyFont="1" applyFill="1" applyAlignment="1" applyProtection="1">
      <alignment horizontal="left" wrapText="1"/>
    </xf>
    <xf numFmtId="0" fontId="13" fillId="4" borderId="172" xfId="0" applyFont="1" applyFill="1" applyBorder="1" applyAlignment="1" applyProtection="1">
      <alignment horizontal="left" vertical="center" wrapText="1" indent="1"/>
    </xf>
    <xf numFmtId="0" fontId="13" fillId="4" borderId="103" xfId="0" applyFont="1" applyFill="1" applyBorder="1" applyAlignment="1" applyProtection="1">
      <alignment horizontal="left" vertical="center" wrapText="1" indent="1"/>
    </xf>
    <xf numFmtId="0" fontId="13" fillId="4" borderId="123" xfId="0" applyFont="1" applyFill="1" applyBorder="1" applyAlignment="1" applyProtection="1">
      <alignment horizontal="left" vertical="center" wrapText="1" indent="1"/>
    </xf>
    <xf numFmtId="0" fontId="26" fillId="3" borderId="0" xfId="0" applyFont="1" applyFill="1" applyBorder="1" applyAlignment="1" applyProtection="1">
      <alignment horizontal="left"/>
    </xf>
    <xf numFmtId="0" fontId="28" fillId="3" borderId="54" xfId="0" applyFont="1" applyFill="1" applyBorder="1" applyAlignment="1" applyProtection="1">
      <alignment horizontal="left"/>
      <protection locked="0"/>
    </xf>
    <xf numFmtId="0" fontId="4" fillId="3" borderId="23" xfId="0" applyFont="1" applyFill="1" applyBorder="1" applyAlignment="1" applyProtection="1">
      <alignment horizontal="left" vertical="center" wrapText="1"/>
      <protection locked="0"/>
    </xf>
    <xf numFmtId="0" fontId="4" fillId="3" borderId="27" xfId="0" applyFont="1" applyFill="1" applyBorder="1" applyAlignment="1" applyProtection="1">
      <alignment horizontal="left" vertical="center" wrapText="1"/>
      <protection locked="0"/>
    </xf>
    <xf numFmtId="0" fontId="4" fillId="3" borderId="25" xfId="0" applyFont="1" applyFill="1" applyBorder="1" applyAlignment="1" applyProtection="1">
      <alignment horizontal="left" vertical="center" wrapText="1"/>
      <protection locked="0"/>
    </xf>
    <xf numFmtId="0" fontId="4" fillId="3" borderId="97" xfId="0" applyFont="1" applyFill="1" applyBorder="1" applyAlignment="1" applyProtection="1">
      <alignment horizontal="left" vertical="center" wrapText="1"/>
      <protection locked="0"/>
    </xf>
    <xf numFmtId="0" fontId="4" fillId="3" borderId="54" xfId="0" applyFont="1" applyFill="1" applyBorder="1" applyAlignment="1" applyProtection="1">
      <alignment horizontal="left" vertical="center" wrapText="1"/>
      <protection locked="0"/>
    </xf>
    <xf numFmtId="0" fontId="4" fillId="3" borderId="199" xfId="0" applyFont="1" applyFill="1" applyBorder="1" applyAlignment="1" applyProtection="1">
      <alignment horizontal="left" vertical="center" wrapText="1"/>
      <protection locked="0"/>
    </xf>
    <xf numFmtId="0" fontId="93" fillId="3" borderId="27" xfId="0" applyFont="1" applyFill="1" applyBorder="1" applyAlignment="1" applyProtection="1">
      <alignment horizontal="left" wrapText="1"/>
      <protection locked="0"/>
    </xf>
    <xf numFmtId="0" fontId="18" fillId="3" borderId="0" xfId="0" applyFont="1" applyFill="1" applyBorder="1" applyAlignment="1" applyProtection="1">
      <alignment horizontal="center" wrapText="1"/>
    </xf>
    <xf numFmtId="0" fontId="12" fillId="3" borderId="54" xfId="0" applyFont="1" applyFill="1" applyBorder="1" applyAlignment="1" applyProtection="1">
      <alignment horizontal="left" vertical="center"/>
    </xf>
    <xf numFmtId="0" fontId="4" fillId="3" borderId="1" xfId="0" applyFont="1" applyFill="1" applyBorder="1" applyAlignment="1" applyProtection="1">
      <alignment horizontal="center"/>
    </xf>
    <xf numFmtId="0" fontId="88" fillId="3" borderId="0" xfId="0" applyFont="1" applyFill="1" applyAlignment="1" applyProtection="1">
      <alignment horizontal="center" vertical="center" wrapText="1"/>
    </xf>
    <xf numFmtId="0" fontId="28" fillId="3" borderId="54" xfId="0" applyFont="1" applyFill="1" applyBorder="1" applyAlignment="1" applyProtection="1">
      <alignment horizontal="left" vertical="center"/>
      <protection locked="0"/>
    </xf>
    <xf numFmtId="0" fontId="18" fillId="3" borderId="0" xfId="0" applyFont="1" applyFill="1" applyBorder="1" applyAlignment="1" applyProtection="1">
      <alignment horizontal="left" wrapText="1"/>
    </xf>
    <xf numFmtId="0" fontId="12" fillId="3" borderId="0" xfId="0" applyFont="1" applyFill="1" applyAlignment="1" applyProtection="1">
      <alignment horizontal="left" wrapText="1" indent="1"/>
    </xf>
    <xf numFmtId="0" fontId="12" fillId="3" borderId="0" xfId="0" applyFont="1" applyFill="1" applyBorder="1" applyAlignment="1" applyProtection="1">
      <alignment horizontal="left" wrapText="1"/>
    </xf>
    <xf numFmtId="0" fontId="36" fillId="0" borderId="0" xfId="0" applyFont="1" applyBorder="1" applyAlignment="1">
      <alignment horizontal="left" wrapText="1"/>
    </xf>
    <xf numFmtId="0" fontId="0" fillId="0" borderId="23" xfId="0" applyFill="1" applyBorder="1" applyAlignment="1" applyProtection="1">
      <alignment horizontal="left" vertical="center" wrapText="1"/>
      <protection locked="0"/>
    </xf>
    <xf numFmtId="0" fontId="0" fillId="0" borderId="27" xfId="0" applyFill="1" applyBorder="1" applyAlignment="1" applyProtection="1">
      <alignment horizontal="left" vertical="center" wrapText="1"/>
      <protection locked="0"/>
    </xf>
    <xf numFmtId="0" fontId="0" fillId="0" borderId="25" xfId="0" applyFill="1" applyBorder="1" applyAlignment="1" applyProtection="1">
      <alignment horizontal="left" vertical="center" wrapText="1"/>
      <protection locked="0"/>
    </xf>
    <xf numFmtId="0" fontId="0" fillId="0" borderId="97" xfId="0" applyFill="1" applyBorder="1" applyAlignment="1" applyProtection="1">
      <alignment horizontal="left" vertical="center" wrapText="1"/>
      <protection locked="0"/>
    </xf>
    <xf numFmtId="0" fontId="0" fillId="0" borderId="54" xfId="0" applyFill="1" applyBorder="1" applyAlignment="1" applyProtection="1">
      <alignment horizontal="left" vertical="center" wrapText="1"/>
      <protection locked="0"/>
    </xf>
    <xf numFmtId="0" fontId="0" fillId="0" borderId="199" xfId="0" applyFill="1" applyBorder="1" applyAlignment="1" applyProtection="1">
      <alignment horizontal="left" vertical="center" wrapText="1"/>
      <protection locked="0"/>
    </xf>
    <xf numFmtId="0" fontId="12" fillId="3" borderId="75" xfId="0" applyFont="1" applyFill="1" applyBorder="1" applyAlignment="1" applyProtection="1">
      <alignment horizontal="left" vertical="top" wrapText="1"/>
      <protection locked="0"/>
    </xf>
    <xf numFmtId="0" fontId="94" fillId="3" borderId="0" xfId="13" applyFont="1" applyFill="1" applyAlignment="1" applyProtection="1">
      <alignment horizontal="left" wrapText="1"/>
    </xf>
    <xf numFmtId="0" fontId="52" fillId="0" borderId="0" xfId="0" applyFont="1" applyFill="1" applyBorder="1" applyAlignment="1" applyProtection="1">
      <alignment horizontal="left" wrapText="1"/>
    </xf>
    <xf numFmtId="0" fontId="51" fillId="0" borderId="0" xfId="0" applyFont="1" applyFill="1" applyBorder="1" applyAlignment="1" applyProtection="1">
      <alignment horizontal="left" wrapText="1"/>
    </xf>
    <xf numFmtId="0" fontId="95" fillId="3" borderId="98" xfId="0" applyFont="1" applyFill="1" applyBorder="1" applyAlignment="1" applyProtection="1">
      <alignment horizontal="left" wrapText="1"/>
    </xf>
    <xf numFmtId="0" fontId="96" fillId="3" borderId="103" xfId="0" applyFont="1" applyFill="1" applyBorder="1" applyAlignment="1" applyProtection="1">
      <alignment horizontal="left" wrapText="1"/>
    </xf>
    <xf numFmtId="0" fontId="96" fillId="3" borderId="123" xfId="0" applyFont="1" applyFill="1" applyBorder="1" applyAlignment="1" applyProtection="1">
      <alignment horizontal="left" wrapText="1"/>
    </xf>
    <xf numFmtId="0" fontId="11" fillId="2" borderId="123" xfId="0" applyFont="1" applyFill="1" applyBorder="1" applyAlignment="1" applyProtection="1">
      <alignment horizontal="left" vertical="center"/>
    </xf>
    <xf numFmtId="0" fontId="98" fillId="0" borderId="0" xfId="13" applyFont="1" applyFill="1" applyBorder="1" applyAlignment="1">
      <alignment horizontal="left"/>
    </xf>
    <xf numFmtId="43" fontId="101" fillId="0" borderId="13" xfId="13" applyNumberFormat="1" applyFont="1" applyFill="1" applyBorder="1" applyAlignment="1">
      <alignment vertical="center"/>
    </xf>
    <xf numFmtId="43" fontId="101" fillId="0" borderId="6" xfId="13" applyNumberFormat="1" applyFont="1" applyFill="1" applyBorder="1" applyAlignment="1">
      <alignment vertical="center"/>
    </xf>
    <xf numFmtId="43" fontId="99" fillId="0" borderId="27" xfId="13" applyNumberFormat="1" applyFont="1" applyFill="1" applyBorder="1" applyAlignment="1">
      <alignment horizontal="left" vertical="center"/>
    </xf>
    <xf numFmtId="43" fontId="98" fillId="0" borderId="0" xfId="13" applyNumberFormat="1" applyFont="1" applyFill="1" applyBorder="1" applyAlignment="1">
      <alignment horizontal="left"/>
    </xf>
    <xf numFmtId="43" fontId="101" fillId="0" borderId="23" xfId="13" applyNumberFormat="1" applyFont="1" applyFill="1" applyBorder="1" applyAlignment="1">
      <alignment horizontal="center" vertical="center"/>
    </xf>
    <xf numFmtId="43" fontId="101" fillId="0" borderId="25" xfId="13" applyNumberFormat="1" applyFont="1" applyFill="1" applyBorder="1" applyAlignment="1">
      <alignment horizontal="center" vertical="center"/>
    </xf>
    <xf numFmtId="0" fontId="105" fillId="25" borderId="98" xfId="13" applyFont="1" applyFill="1" applyBorder="1" applyAlignment="1">
      <alignment horizontal="center"/>
    </xf>
    <xf numFmtId="0" fontId="105" fillId="25" borderId="103" xfId="13" applyFont="1" applyFill="1" applyBorder="1" applyAlignment="1">
      <alignment horizontal="center"/>
    </xf>
    <xf numFmtId="0" fontId="105" fillId="25" borderId="123" xfId="13" applyFont="1" applyFill="1" applyBorder="1" applyAlignment="1">
      <alignment horizontal="center"/>
    </xf>
    <xf numFmtId="0" fontId="100" fillId="0" borderId="13" xfId="14" applyFont="1" applyFill="1" applyBorder="1" applyAlignment="1">
      <alignment horizontal="left" vertical="center" wrapText="1"/>
    </xf>
    <xf numFmtId="0" fontId="100" fillId="0" borderId="6" xfId="14" applyFont="1" applyFill="1" applyBorder="1" applyAlignment="1">
      <alignment horizontal="left" vertical="center" wrapText="1"/>
    </xf>
    <xf numFmtId="0" fontId="100" fillId="25" borderId="28" xfId="13" applyFont="1" applyFill="1" applyBorder="1" applyAlignment="1">
      <alignment horizontal="center" vertical="center"/>
    </xf>
    <xf numFmtId="0" fontId="100" fillId="25" borderId="75" xfId="13" applyFont="1" applyFill="1" applyBorder="1" applyAlignment="1">
      <alignment horizontal="center" vertical="center"/>
    </xf>
    <xf numFmtId="0" fontId="99" fillId="0" borderId="28" xfId="13" applyFont="1" applyFill="1" applyBorder="1" applyAlignment="1">
      <alignment horizontal="left" vertical="center" wrapText="1"/>
    </xf>
    <xf numFmtId="0" fontId="99" fillId="0" borderId="116" xfId="13" applyFont="1" applyFill="1" applyBorder="1" applyAlignment="1">
      <alignment horizontal="left" vertical="center" wrapText="1"/>
    </xf>
    <xf numFmtId="0" fontId="99" fillId="0" borderId="75" xfId="13" applyFont="1" applyFill="1" applyBorder="1" applyAlignment="1">
      <alignment horizontal="left" vertical="center" wrapText="1"/>
    </xf>
    <xf numFmtId="43" fontId="100" fillId="25" borderId="28" xfId="14" applyNumberFormat="1" applyFont="1" applyFill="1" applyBorder="1" applyAlignment="1">
      <alignment horizontal="center" vertical="center" wrapText="1"/>
    </xf>
    <xf numFmtId="43" fontId="100" fillId="25" borderId="116" xfId="14" applyNumberFormat="1" applyFont="1" applyFill="1" applyBorder="1" applyAlignment="1">
      <alignment horizontal="center" vertical="center" wrapText="1"/>
    </xf>
    <xf numFmtId="43" fontId="100" fillId="25" borderId="75" xfId="14" applyNumberFormat="1" applyFont="1" applyFill="1" applyBorder="1" applyAlignment="1">
      <alignment horizontal="center" vertical="center" wrapText="1"/>
    </xf>
    <xf numFmtId="0" fontId="105" fillId="0" borderId="97" xfId="13" applyFont="1" applyFill="1" applyBorder="1" applyAlignment="1">
      <alignment horizontal="left" vertical="center"/>
    </xf>
    <xf numFmtId="0" fontId="105" fillId="0" borderId="54" xfId="13" applyFont="1" applyFill="1" applyBorder="1" applyAlignment="1">
      <alignment horizontal="left" vertical="center"/>
    </xf>
    <xf numFmtId="0" fontId="100" fillId="25" borderId="16" xfId="14" applyFont="1" applyFill="1" applyBorder="1" applyAlignment="1">
      <alignment horizontal="center" vertical="center" wrapText="1"/>
    </xf>
    <xf numFmtId="0" fontId="100" fillId="25" borderId="6" xfId="14" applyFont="1" applyFill="1" applyBorder="1" applyAlignment="1">
      <alignment horizontal="center" vertical="center" wrapText="1"/>
    </xf>
    <xf numFmtId="0" fontId="100" fillId="25" borderId="13" xfId="14" applyFont="1" applyFill="1" applyBorder="1" applyAlignment="1">
      <alignment horizontal="center" vertical="center" wrapText="1"/>
    </xf>
    <xf numFmtId="0" fontId="101" fillId="25" borderId="13" xfId="13" applyFont="1" applyFill="1" applyBorder="1" applyAlignment="1">
      <alignment horizontal="center" vertical="center"/>
    </xf>
    <xf numFmtId="0" fontId="101" fillId="25" borderId="16" xfId="13" applyFont="1" applyFill="1" applyBorder="1" applyAlignment="1">
      <alignment horizontal="center" vertical="center"/>
    </xf>
    <xf numFmtId="0" fontId="101" fillId="25" borderId="6" xfId="13" applyFont="1" applyFill="1" applyBorder="1" applyAlignment="1">
      <alignment horizontal="center" vertical="center"/>
    </xf>
    <xf numFmtId="43" fontId="100" fillId="25" borderId="13" xfId="14" applyNumberFormat="1" applyFont="1" applyFill="1" applyBorder="1" applyAlignment="1">
      <alignment horizontal="center" vertical="center" wrapText="1"/>
    </xf>
    <xf numFmtId="43" fontId="100" fillId="25" borderId="16" xfId="14" applyNumberFormat="1" applyFont="1" applyFill="1" applyBorder="1" applyAlignment="1">
      <alignment horizontal="center" vertical="center" wrapText="1"/>
    </xf>
    <xf numFmtId="43" fontId="100" fillId="25" borderId="6" xfId="14" applyNumberFormat="1" applyFont="1" applyFill="1" applyBorder="1" applyAlignment="1">
      <alignment horizontal="center" vertical="center" wrapText="1"/>
    </xf>
    <xf numFmtId="0" fontId="100" fillId="25" borderId="13" xfId="14" applyFont="1" applyFill="1" applyBorder="1" applyAlignment="1">
      <alignment horizontal="center" wrapText="1"/>
    </xf>
    <xf numFmtId="0" fontId="100" fillId="25" borderId="16" xfId="14" applyFont="1" applyFill="1" applyBorder="1" applyAlignment="1">
      <alignment horizontal="center" wrapText="1"/>
    </xf>
    <xf numFmtId="0" fontId="105" fillId="29" borderId="98" xfId="13" applyFont="1" applyFill="1" applyBorder="1" applyAlignment="1">
      <alignment horizontal="center" vertical="center"/>
    </xf>
    <xf numFmtId="0" fontId="105" fillId="29" borderId="103" xfId="13" applyFont="1" applyFill="1" applyBorder="1" applyAlignment="1">
      <alignment horizontal="center" vertical="center"/>
    </xf>
    <xf numFmtId="0" fontId="105" fillId="29" borderId="123" xfId="13" applyFont="1" applyFill="1" applyBorder="1" applyAlignment="1">
      <alignment horizontal="center" vertical="center"/>
    </xf>
  </cellXfs>
  <cellStyles count="22">
    <cellStyle name="Comma" xfId="1" builtinId="3"/>
    <cellStyle name="Comma 2" xfId="2"/>
    <cellStyle name="Comma 2 2" xfId="3"/>
    <cellStyle name="Comma 2 2 2" xfId="4"/>
    <cellStyle name="Comma 2 3" xfId="5"/>
    <cellStyle name="Comma 3" xfId="6"/>
    <cellStyle name="Comma 3 2" xfId="7"/>
    <cellStyle name="Comma 4" xfId="8"/>
    <cellStyle name="Comma 5" xfId="9"/>
    <cellStyle name="Comma_Expenditure statement for DR6PU5-for LFA (version II)" xfId="10"/>
    <cellStyle name="Comma_HIV_Financial Reporting Template_Nov16" xfId="11"/>
    <cellStyle name="Comma_Template for Summary budgets Generic" xfId="12"/>
    <cellStyle name="Normal" xfId="0" builtinId="0"/>
    <cellStyle name="Normal 2" xfId="13"/>
    <cellStyle name="Normal 2 2" xfId="14"/>
    <cellStyle name="Normal 2 3" xfId="15"/>
    <cellStyle name="Normal 3" xfId="16"/>
    <cellStyle name="Normal_Cashflow Satement - 6PUDR" xfId="17"/>
    <cellStyle name="Normal_Template for Summary budgets Generic" xfId="18"/>
    <cellStyle name="Percent" xfId="19" builtinId="5"/>
    <cellStyle name="Percent 2" xfId="20"/>
    <cellStyle name="Percent 3" xfId="21"/>
  </cellStyles>
  <dxfs count="134">
    <dxf>
      <fill>
        <patternFill>
          <bgColor theme="9" tint="0.59996337778862885"/>
        </patternFill>
      </fill>
    </dxf>
    <dxf>
      <fill>
        <patternFill>
          <bgColor theme="9" tint="0.59996337778862885"/>
        </patternFill>
      </fill>
    </dxf>
    <dxf>
      <fill>
        <patternFill>
          <bgColor theme="0"/>
        </patternFill>
      </fill>
    </dxf>
    <dxf>
      <fill>
        <patternFill>
          <bgColor theme="0"/>
        </patternFill>
      </fill>
    </dxf>
    <dxf>
      <font>
        <condense val="0"/>
        <extend val="0"/>
        <color auto="1"/>
      </font>
      <fill>
        <patternFill>
          <bgColor indexed="26"/>
        </patternFill>
      </fill>
    </dxf>
    <dxf>
      <font>
        <condense val="0"/>
        <extend val="0"/>
        <color auto="1"/>
      </font>
      <fill>
        <patternFill>
          <bgColor indexed="26"/>
        </patternFill>
      </fill>
    </dxf>
    <dxf>
      <font>
        <condense val="0"/>
        <extend val="0"/>
        <color auto="1"/>
      </font>
      <fill>
        <patternFill>
          <bgColor indexed="26"/>
        </patternFill>
      </fill>
    </dxf>
    <dxf>
      <font>
        <condense val="0"/>
        <extend val="0"/>
        <color auto="1"/>
      </font>
      <fill>
        <patternFill>
          <bgColor indexed="26"/>
        </patternFill>
      </fill>
    </dxf>
    <dxf>
      <font>
        <condense val="0"/>
        <extend val="0"/>
        <color auto="1"/>
      </font>
      <fill>
        <patternFill>
          <bgColor indexed="26"/>
        </patternFill>
      </fill>
    </dxf>
    <dxf>
      <font>
        <condense val="0"/>
        <extend val="0"/>
        <color indexed="22"/>
      </font>
    </dxf>
    <dxf>
      <font>
        <condense val="0"/>
        <extend val="0"/>
        <color indexed="22"/>
      </font>
    </dxf>
    <dxf>
      <font>
        <condense val="0"/>
        <extend val="0"/>
        <color indexed="22"/>
      </font>
    </dxf>
    <dxf>
      <font>
        <b val="0"/>
        <i val="0"/>
        <condense val="0"/>
        <extend val="0"/>
        <color indexed="10"/>
      </font>
    </dxf>
    <dxf>
      <font>
        <b/>
        <i val="0"/>
        <condense val="0"/>
        <extend val="0"/>
        <color indexed="10"/>
      </font>
    </dxf>
    <dxf>
      <font>
        <b val="0"/>
        <i val="0"/>
        <condense val="0"/>
        <extend val="0"/>
        <color indexed="10"/>
      </font>
    </dxf>
    <dxf>
      <font>
        <b/>
        <i val="0"/>
        <condense val="0"/>
        <extend val="0"/>
        <color indexed="10"/>
      </font>
    </dxf>
    <dxf>
      <font>
        <b val="0"/>
        <i val="0"/>
        <condense val="0"/>
        <extend val="0"/>
        <color indexed="10"/>
      </font>
    </dxf>
    <dxf>
      <font>
        <b/>
        <i val="0"/>
        <condense val="0"/>
        <extend val="0"/>
        <color indexed="10"/>
      </font>
    </dxf>
    <dxf>
      <fill>
        <patternFill>
          <bgColor theme="9" tint="0.59996337778862885"/>
        </patternFill>
      </fill>
    </dxf>
    <dxf>
      <font>
        <b val="0"/>
        <i val="0"/>
        <condense val="0"/>
        <extend val="0"/>
        <color indexed="10"/>
      </font>
    </dxf>
    <dxf>
      <font>
        <b/>
        <i val="0"/>
        <condense val="0"/>
        <extend val="0"/>
        <color indexed="10"/>
      </font>
    </dxf>
    <dxf>
      <font>
        <b val="0"/>
        <i val="0"/>
        <condense val="0"/>
        <extend val="0"/>
        <color indexed="10"/>
      </font>
    </dxf>
    <dxf>
      <font>
        <b/>
        <i val="0"/>
        <condense val="0"/>
        <extend val="0"/>
        <color indexed="10"/>
      </font>
    </dxf>
    <dxf>
      <fill>
        <patternFill>
          <bgColor indexed="26"/>
        </patternFill>
      </fill>
    </dxf>
    <dxf>
      <fill>
        <patternFill>
          <bgColor indexed="43"/>
        </patternFill>
      </fill>
    </dxf>
    <dxf>
      <fill>
        <patternFill>
          <bgColor indexed="22"/>
        </patternFill>
      </fill>
    </dxf>
    <dxf>
      <fill>
        <patternFill>
          <bgColor indexed="26"/>
        </patternFill>
      </fill>
    </dxf>
    <dxf>
      <fill>
        <patternFill>
          <bgColor indexed="22"/>
        </patternFill>
      </fill>
    </dxf>
    <dxf>
      <fill>
        <patternFill>
          <bgColor indexed="26"/>
        </patternFill>
      </fill>
    </dxf>
    <dxf>
      <fill>
        <patternFill>
          <bgColor indexed="22"/>
        </patternFill>
      </fill>
    </dxf>
    <dxf>
      <fill>
        <patternFill>
          <bgColor indexed="26"/>
        </patternFill>
      </fill>
    </dxf>
    <dxf>
      <font>
        <b val="0"/>
        <i val="0"/>
        <strike val="0"/>
        <condense val="0"/>
        <extend val="0"/>
        <outline val="0"/>
        <shadow val="0"/>
        <u val="none"/>
        <vertAlign val="baseline"/>
        <sz val="8"/>
        <color theme="1" tint="0.14999847407452621"/>
        <name val="Arial"/>
        <scheme val="none"/>
      </font>
      <numFmt numFmtId="13" formatCode="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3"/>
        <name val="Arial"/>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3"/>
        <name val="Arial"/>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3"/>
        <name val="Arial"/>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3"/>
        <name val="Arial"/>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3"/>
        <name val="Arial"/>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3"/>
        <name val="Arial"/>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3"/>
        <name val="Arial"/>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3"/>
        <name val="Arial"/>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3"/>
        <name val="Arial"/>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border outline="0">
        <bottom style="medium">
          <color indexed="18"/>
        </bottom>
      </border>
    </dxf>
    <dxf>
      <font>
        <b val="0"/>
        <i val="0"/>
        <strike val="0"/>
        <condense val="0"/>
        <extend val="0"/>
        <outline val="0"/>
        <shadow val="0"/>
        <u val="none"/>
        <vertAlign val="baseline"/>
        <sz val="8"/>
        <color theme="3"/>
        <name val="Arial"/>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theme="0"/>
        <name val="Arial"/>
        <scheme val="none"/>
      </font>
      <fill>
        <patternFill patternType="none">
          <fgColor indexed="64"/>
          <bgColor indexed="65"/>
        </patternFill>
      </fill>
      <alignment horizontal="general" vertical="center" textRotation="0" wrapText="1" indent="0" justifyLastLine="0" shrinkToFit="0" readingOrder="0"/>
      <protection locked="0" hidden="0"/>
    </dxf>
    <dxf>
      <font>
        <color theme="0"/>
      </font>
    </dxf>
    <dxf>
      <fill>
        <patternFill>
          <bgColor rgb="FF00FF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patternType="lightUp">
          <fgColor rgb="FFFF0000"/>
          <bgColor indexed="65"/>
        </patternFill>
      </fill>
    </dxf>
    <dxf>
      <fill>
        <patternFill patternType="lightUp">
          <fgColor rgb="FFFFC000"/>
        </patternFill>
      </fill>
    </dxf>
    <dxf>
      <fill>
        <patternFill patternType="lightUp">
          <fgColor rgb="FFFFFF00"/>
          <bgColor indexed="65"/>
        </patternFill>
      </fill>
    </dxf>
    <dxf>
      <fill>
        <patternFill patternType="lightUp">
          <fgColor rgb="FF00B0F0"/>
        </patternFill>
      </fill>
    </dxf>
    <dxf>
      <fill>
        <patternFill patternType="lightUp">
          <fgColor rgb="FF92D050"/>
        </patternFill>
      </fill>
    </dxf>
    <dxf>
      <fill>
        <patternFill>
          <bgColor rgb="FFFF0000"/>
        </patternFill>
      </fill>
    </dxf>
    <dxf>
      <fill>
        <patternFill>
          <bgColor rgb="FFFFC000"/>
        </patternFill>
      </fill>
    </dxf>
    <dxf>
      <fill>
        <patternFill>
          <bgColor rgb="FFFFFF00"/>
        </patternFill>
      </fill>
    </dxf>
    <dxf>
      <fill>
        <patternFill>
          <bgColor rgb="FF00B0F0"/>
        </patternFill>
      </fill>
    </dxf>
    <dxf>
      <fill>
        <patternFill>
          <bgColor rgb="FF00FF00"/>
        </patternFill>
      </fill>
    </dxf>
    <dxf>
      <fill>
        <patternFill>
          <bgColor rgb="FFFF0000"/>
        </patternFill>
      </fill>
    </dxf>
    <dxf>
      <fill>
        <patternFill>
          <bgColor rgb="FF00FF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patternFill>
      </fill>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val="0"/>
        <i val="0"/>
        <condense val="0"/>
        <extend val="0"/>
        <color indexed="10"/>
      </font>
    </dxf>
    <dxf>
      <font>
        <b val="0"/>
        <i val="0"/>
        <condense val="0"/>
        <extend val="0"/>
        <color indexed="10"/>
      </font>
    </dxf>
    <dxf>
      <font>
        <b/>
        <i val="0"/>
        <condense val="0"/>
        <extend val="0"/>
        <color indexed="1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val="0"/>
        <i val="0"/>
        <condense val="0"/>
        <extend val="0"/>
        <color indexed="10"/>
      </font>
    </dxf>
    <dxf>
      <font>
        <b/>
        <i val="0"/>
        <condense val="0"/>
        <extend val="0"/>
        <color indexed="10"/>
      </font>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2"/>
        </patternFill>
      </fill>
    </dxf>
    <dxf>
      <fill>
        <patternFill>
          <bgColor indexed="26"/>
        </patternFill>
      </fill>
    </dxf>
    <dxf>
      <fill>
        <patternFill>
          <bgColor indexed="22"/>
        </patternFill>
      </fill>
    </dxf>
    <dxf>
      <fill>
        <patternFill>
          <bgColor indexed="26"/>
        </patternFill>
      </fill>
    </dxf>
    <dxf>
      <fill>
        <patternFill>
          <bgColor indexed="22"/>
        </patternFill>
      </fill>
    </dxf>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5.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6.xml"/><Relationship Id="rId48"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4</xdr:col>
      <xdr:colOff>1016000</xdr:colOff>
      <xdr:row>14</xdr:row>
      <xdr:rowOff>15875</xdr:rowOff>
    </xdr:from>
    <xdr:to>
      <xdr:col>9</xdr:col>
      <xdr:colOff>1435100</xdr:colOff>
      <xdr:row>14</xdr:row>
      <xdr:rowOff>15875</xdr:rowOff>
    </xdr:to>
    <xdr:sp macro="" textlink="">
      <xdr:nvSpPr>
        <xdr:cNvPr id="2" name="PowerPlusWaterMarkObject3"/>
        <xdr:cNvSpPr>
          <a:spLocks noChangeArrowheads="1" noChangeShapeType="1" noTextEdit="1"/>
        </xdr:cNvSpPr>
      </xdr:nvSpPr>
      <xdr:spPr bwMode="auto">
        <a:xfrm rot="18900000">
          <a:off x="6302375" y="3063875"/>
          <a:ext cx="6800850" cy="0"/>
        </a:xfrm>
        <a:prstGeom prst="rect">
          <a:avLst/>
        </a:prstGeom>
      </xdr:spPr>
      <xdr:txBody>
        <a:bodyPr wrap="none" fromWordArt="1">
          <a:prstTxWarp prst="textPlain">
            <a:avLst>
              <a:gd name="adj" fmla="val 50000"/>
            </a:avLst>
          </a:prstTxWarp>
        </a:bodyPr>
        <a:lstStyle/>
        <a:p>
          <a:pPr algn="ctr" rtl="0"/>
          <a:r>
            <a:rPr lang="en-US" sz="100" spc="0">
              <a:ln w="9525">
                <a:noFill/>
                <a:round/>
                <a:headEnd/>
                <a:tailEnd/>
              </a:ln>
              <a:solidFill>
                <a:srgbClr val="C0C0C0">
                  <a:alpha val="50000"/>
                </a:srgbClr>
              </a:solidFill>
              <a:latin typeface="Arial"/>
              <a:cs typeface="Arial"/>
            </a:rPr>
            <a:t>DRAFT</a:t>
          </a:r>
        </a:p>
      </xdr:txBody>
    </xdr:sp>
    <xdr:clientData/>
  </xdr:twoCellAnchor>
  <mc:AlternateContent xmlns:mc="http://schemas.openxmlformats.org/markup-compatibility/2006">
    <mc:Choice xmlns:a14="http://schemas.microsoft.com/office/drawing/2010/main" Requires="a14">
      <xdr:twoCellAnchor editAs="oneCell">
        <xdr:from>
          <xdr:col>0</xdr:col>
          <xdr:colOff>2886075</xdr:colOff>
          <xdr:row>45</xdr:row>
          <xdr:rowOff>0</xdr:rowOff>
        </xdr:from>
        <xdr:to>
          <xdr:col>1</xdr:col>
          <xdr:colOff>9525</xdr:colOff>
          <xdr:row>46</xdr:row>
          <xdr:rowOff>180975</xdr:rowOff>
        </xdr:to>
        <xdr:pic>
          <xdr:nvPicPr>
            <xdr:cNvPr id="31581" name="Picture 1"/>
            <xdr:cNvPicPr>
              <a:picLocks noChangeAspect="1" noChangeArrowheads="1"/>
              <a:extLst>
                <a:ext uri="{84589F7E-364E-4C9E-8A38-B11213B215E9}">
                  <a14:cameraTool cellRange="LFASig" spid="_x0000_s31619"/>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257175" y="10258425"/>
              <a:ext cx="9525" cy="7810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38100</xdr:colOff>
      <xdr:row>56</xdr:row>
      <xdr:rowOff>733425</xdr:rowOff>
    </xdr:from>
    <xdr:to>
      <xdr:col>5</xdr:col>
      <xdr:colOff>923925</xdr:colOff>
      <xdr:row>58</xdr:row>
      <xdr:rowOff>9525</xdr:rowOff>
    </xdr:to>
    <xdr:pic>
      <xdr:nvPicPr>
        <xdr:cNvPr id="37897" name="Picture 1" descr="signature 001"/>
        <xdr:cNvPicPr>
          <a:picLocks noChangeAspect="1" noChangeArrowheads="1"/>
        </xdr:cNvPicPr>
      </xdr:nvPicPr>
      <xdr:blipFill>
        <a:blip xmlns:r="http://schemas.openxmlformats.org/officeDocument/2006/relationships" r:embed="rId1" cstate="print"/>
        <a:srcRect l="23535" t="36147" r="58591" b="50829"/>
        <a:stretch>
          <a:fillRect/>
        </a:stretch>
      </xdr:blipFill>
      <xdr:spPr bwMode="auto">
        <a:xfrm>
          <a:off x="3562350" y="20659725"/>
          <a:ext cx="3648075" cy="5048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ony\Desktop\BHUTAN_LFA3\HIVAIDS\HIV_Q14_MJJ_2011\BhutanHIV_PUDR_Q14_JAS_2011%20(G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KinleyDorji\My%20Documents\Downloads\Documents%20and%20Settings\gallabergenova\Local%20Settings\Temporary%20Internet%20Files\OLK40\NGA-809-G11-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KinleyDorji\My%20Documents\Downloads\Users\chenneuse\AppData\Local\Microsoft\Windows\Temporary%20Internet%20Files\Content.Outlook\LX8CLMNA\Malaria_Financial%20Reporting%20Template_Jun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KinleyDorji\My%20Documents\Downloads\Users\chenneuse\AppData\Local\Microsoft\Windows\Temporary%20Internet%20Files\Content.Outlook\LX8CLMNA\TB_Financial%20Reporting%20Template_Jun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KinleyDorji\My%20Documents\Downloads\DOCUME~1\KINLEY~1\LOCALS~1\Temp\Detail%20budget%20Y%204%20&amp;%205%2011Oc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KinleyDorji\My%20Documents\Downloads\DOCUME~1\KINLEY~1\LOCALS~1\Temp\Detail%20budget%20Y%204%20&amp;%205%2014Oc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KinleyDorji\My%20Documents\Downloads\DOCUME~1\KINLEY~1\LOCALS~1\Temp\Detail%20budget%20Y%204%20&amp;%205%2013Oc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user\AppData\Local\Microsoft\Windows\Temporary%20Internet%20Files\Low\Content.IE5\SXQBBA17\PUDR%20Aug,%20Sept%20&amp;%20Oct%20qtr15%20Desh%20Man%20R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PR_Programmatic Progress_1A"/>
      <sheetName val="PR_Programmatic Progress_1B"/>
      <sheetName val="PR_Grant Management_2"/>
      <sheetName val="PR_Total PR Cash Outflow_3A"/>
      <sheetName val="EFR HIV AIDS Financial Data_3B"/>
      <sheetName val="PR_Procurement Info_4"/>
      <sheetName val="PR_Cash Reconciliation_5A"/>
      <sheetName val="PR_Disbursement Request_5B"/>
      <sheetName val="PR_Overall Performance_6"/>
      <sheetName val="PR_Cash Request_7A&amp;B"/>
      <sheetName val="PR_Bank Details_7C"/>
      <sheetName val="PR_Annex_SR-Financials"/>
      <sheetName val="Checklist"/>
      <sheetName val="LFA_Programmatic Progress_1A"/>
      <sheetName val="LFA_Programmatic Progress_1B"/>
      <sheetName val="ANNEXURE A (RATING)"/>
      <sheetName val="LFA_Grant Management_2"/>
      <sheetName val="LFA_Total PR Cash Outflow_3A"/>
      <sheetName val="Annex_B_VarQ14"/>
      <sheetName val="LFA_EFR Review_3B"/>
      <sheetName val="LFA_Procurement Info_4"/>
      <sheetName val="LFA_Findings&amp;Recommendations"/>
      <sheetName val="LFA_Cash Reconciliation_5A"/>
      <sheetName val="Annexure _C_Cash Recon."/>
      <sheetName val="LFA_Disbursement Recommend_5B"/>
      <sheetName val="Sheet1"/>
      <sheetName val="LFA_Overall Performance_6"/>
      <sheetName val="LFA_DisbursementRecommendation7"/>
      <sheetName val="LFA_Bank Details_7C"/>
      <sheetName val="LFA_Annex-SR Financials"/>
      <sheetName val="Memo HIV"/>
      <sheetName val="Memo TB"/>
      <sheetName val="Memo Malaria"/>
      <sheetName val="Definitions-lists-EFR"/>
      <sheetName val="Sheet2"/>
      <sheetName val="Annex_D_CuuV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2">
          <cell r="A2" t="str">
            <v>Please select…</v>
          </cell>
        </row>
        <row r="3">
          <cell r="A3" t="str">
            <v>Prevention: Behavioral Change Communication - Mass media</v>
          </cell>
        </row>
        <row r="4">
          <cell r="A4" t="str">
            <v>Prevention: Behavioral Change Communication - community outreach</v>
          </cell>
        </row>
        <row r="5">
          <cell r="A5" t="str">
            <v>Prevention: Condom distribution</v>
          </cell>
        </row>
        <row r="6">
          <cell r="A6" t="str">
            <v xml:space="preserve">Prevention: Counseling and Testing </v>
          </cell>
        </row>
        <row r="7">
          <cell r="A7" t="str">
            <v>Prevention: PMTCT</v>
          </cell>
        </row>
        <row r="8">
          <cell r="A8" t="str">
            <v>Prevention: Post-exposure prophylaxis (PEP)</v>
          </cell>
        </row>
        <row r="9">
          <cell r="A9" t="str">
            <v>Prevention: STI diagnosis and treatment</v>
          </cell>
        </row>
        <row r="10">
          <cell r="A10" t="str">
            <v>Prevention: Blood safety and universal precaution</v>
          </cell>
        </row>
        <row r="11">
          <cell r="A11" t="str">
            <v>Treatment: Antiretroviral treatment (ARV) and monitoring</v>
          </cell>
        </row>
        <row r="12">
          <cell r="A12" t="str">
            <v>Treatment: Prophylaxis and treatment for opportunistic infections</v>
          </cell>
        </row>
        <row r="13">
          <cell r="A13" t="str">
            <v>Care and support: Care and support for the chronically ill</v>
          </cell>
        </row>
        <row r="14">
          <cell r="A14" t="str">
            <v>Care and support: Support for orphans and vulnerable children</v>
          </cell>
        </row>
        <row r="15">
          <cell r="A15" t="str">
            <v xml:space="preserve">TB/HIV collaborative activities: HIV care and support for HIV-positive TB patients </v>
          </cell>
        </row>
        <row r="16">
          <cell r="A16" t="str">
            <v>Supportive environment: Policy development including workplace policy</v>
          </cell>
        </row>
        <row r="17">
          <cell r="A17" t="str">
            <v xml:space="preserve">Supportive environment: Strengthening of civil society and institutional capacity building </v>
          </cell>
        </row>
        <row r="18">
          <cell r="A18" t="str">
            <v>Supportive environment: Stigma reduction in all settings</v>
          </cell>
        </row>
        <row r="19">
          <cell r="A19" t="str">
            <v>Supportive environment: Program management and administration</v>
          </cell>
        </row>
        <row r="20">
          <cell r="A20" t="str">
            <v>HSS: Service delivery</v>
          </cell>
        </row>
        <row r="21">
          <cell r="A21" t="str">
            <v>HSS: Human resources</v>
          </cell>
        </row>
        <row r="22">
          <cell r="A22" t="str">
            <v>HSS: Community Systems Strengthening</v>
          </cell>
        </row>
        <row r="23">
          <cell r="A23" t="str">
            <v>HSS: Information system &amp; Operational research</v>
          </cell>
        </row>
        <row r="24">
          <cell r="A24" t="str">
            <v>HSS: Infrastructure</v>
          </cell>
        </row>
        <row r="25">
          <cell r="A25" t="str">
            <v>HSS: Procurement and Supply management</v>
          </cell>
        </row>
        <row r="26">
          <cell r="A26" t="str">
            <v>HSS: Other, specify</v>
          </cell>
        </row>
      </sheetData>
      <sheetData sheetId="32"/>
      <sheetData sheetId="33"/>
      <sheetData sheetId="34">
        <row r="1">
          <cell r="A1" t="str">
            <v>Please Select…</v>
          </cell>
        </row>
        <row r="2">
          <cell r="A2" t="str">
            <v>Prevention</v>
          </cell>
        </row>
        <row r="3">
          <cell r="A3" t="str">
            <v>Treatment</v>
          </cell>
        </row>
        <row r="4">
          <cell r="A4" t="str">
            <v>Care and Support</v>
          </cell>
        </row>
        <row r="5">
          <cell r="A5" t="str">
            <v>TB/HIV Collaborative Activities</v>
          </cell>
        </row>
        <row r="6">
          <cell r="A6" t="str">
            <v>Supportive Environment</v>
          </cell>
        </row>
        <row r="7">
          <cell r="A7" t="str">
            <v>Health System Strengthening (HSS)</v>
          </cell>
        </row>
        <row r="58">
          <cell r="A58" t="str">
            <v>Please Select…</v>
          </cell>
        </row>
        <row r="59">
          <cell r="A59" t="str">
            <v>FBO</v>
          </cell>
        </row>
        <row r="60">
          <cell r="A60" t="str">
            <v>NGO/CBO/Academic</v>
          </cell>
        </row>
        <row r="61">
          <cell r="A61" t="str">
            <v>Private Sector</v>
          </cell>
        </row>
        <row r="62">
          <cell r="A62" t="str">
            <v>Ministry Health (MoH)</v>
          </cell>
        </row>
        <row r="63">
          <cell r="A63" t="str">
            <v>Other Government</v>
          </cell>
        </row>
        <row r="64">
          <cell r="A64" t="str">
            <v>UNDP</v>
          </cell>
        </row>
        <row r="65">
          <cell r="A65" t="str">
            <v>Other Multilateral Organization</v>
          </cell>
        </row>
      </sheetData>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_Cover Sheet"/>
      <sheetName val="PR_Programmatic Progress_1A"/>
      <sheetName val="PR_Programmatic Progress_1B"/>
      <sheetName val="PR_Grant Management_2"/>
      <sheetName val="PR_Total PR Cash Outflow_3A"/>
      <sheetName val="PR_Procurement Info_3B"/>
      <sheetName val="PR_Cash Reconciliation_4A"/>
      <sheetName val="PR_Disbursement Request_4B"/>
      <sheetName val="PR_Overall Performance_5"/>
      <sheetName val="PR_Cash Request_6A&amp;B"/>
      <sheetName val="PR_Bank Details_6C"/>
      <sheetName val="PR_Annex_SR-Financials"/>
      <sheetName val="LFA_Cover Sheet"/>
      <sheetName val="LFA_Programmatic Progress_1A"/>
      <sheetName val="LFA_Programmatic Progress_1B"/>
      <sheetName val="LFA_Grant Management_2"/>
      <sheetName val="LFA_Total PR Cash Outflow_3A"/>
      <sheetName val="LFA_Procurement Info_3B"/>
      <sheetName val="LFA_Findings&amp;Recommendations_4"/>
      <sheetName val="LFA_Cash Reconciliation_5A"/>
      <sheetName val="LFA_Disbursement Request_5B"/>
      <sheetName val="Sheet1"/>
      <sheetName val="LFA_Overall Performance_6"/>
      <sheetName val="LFA_DisbursementRecommendation7"/>
      <sheetName val="LFA_Bank Details_7D"/>
      <sheetName val="LFA_Annex-SR Financials"/>
      <sheetName val="LFA_Signature (image)"/>
      <sheetName val="Memo HIV"/>
      <sheetName val="Memo TB"/>
      <sheetName val="Memo Mala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LARIA_Financial Data"/>
      <sheetName val="Definitions"/>
      <sheetName val="Annex 1"/>
      <sheetName val="Annex 2"/>
      <sheetName val="Annex 3"/>
    </sheetNames>
    <sheetDataSet>
      <sheetData sheetId="0"/>
      <sheetData sheetId="1">
        <row r="28">
          <cell r="C28" t="str">
            <v>Please select…</v>
          </cell>
        </row>
        <row r="29">
          <cell r="C29" t="str">
            <v>Prevention: Behavioral Change Communication - Mass Media</v>
          </cell>
        </row>
        <row r="30">
          <cell r="C30" t="str">
            <v>Prevention: Behavioral Change Communication - Community Outreach</v>
          </cell>
        </row>
        <row r="31">
          <cell r="C31" t="str">
            <v>Prevention: Insecticide-treated nets (ITNs)</v>
          </cell>
        </row>
        <row r="32">
          <cell r="C32" t="str">
            <v>Prevention: Malaria in pregnancy</v>
          </cell>
        </row>
        <row r="33">
          <cell r="C33" t="str">
            <v>Prevention: Vector control (other than ITNs)</v>
          </cell>
        </row>
        <row r="34">
          <cell r="C34" t="str">
            <v>Prevention: other - specify</v>
          </cell>
        </row>
        <row r="35">
          <cell r="C35" t="str">
            <v>Treatment: Prompt, effective antimalarial treatment</v>
          </cell>
        </row>
        <row r="36">
          <cell r="C36" t="str">
            <v>Treatment: Home-based management of malaria</v>
          </cell>
        </row>
        <row r="37">
          <cell r="C37" t="str">
            <v>Treatment: Diagnosis</v>
          </cell>
        </row>
        <row r="38">
          <cell r="C38" t="str">
            <v>Treatment: other - specify</v>
          </cell>
        </row>
        <row r="39">
          <cell r="C39" t="str">
            <v>Supportive Environment: Monitoring drug resistance</v>
          </cell>
        </row>
        <row r="40">
          <cell r="C40" t="str">
            <v>Supportive environment: Monitoring insecticide resistance</v>
          </cell>
        </row>
        <row r="41">
          <cell r="C41" t="str">
            <v>Supportive Environment: Coordination and partnership development (national, community, public-private)</v>
          </cell>
        </row>
        <row r="42">
          <cell r="C42" t="str">
            <v>Supportive environment: other - specify</v>
          </cell>
        </row>
        <row r="43">
          <cell r="C43" t="str">
            <v>Supportive environment: Program management and administration</v>
          </cell>
        </row>
        <row r="44">
          <cell r="C44" t="str">
            <v>HSS: Service delivery</v>
          </cell>
        </row>
        <row r="45">
          <cell r="C45" t="str">
            <v>HSS: Human resources</v>
          </cell>
        </row>
        <row r="46">
          <cell r="C46" t="str">
            <v>HSS: Community Systems Strengthening</v>
          </cell>
        </row>
        <row r="47">
          <cell r="C47" t="str">
            <v>HSS: Information system &amp; Operational research</v>
          </cell>
        </row>
        <row r="48">
          <cell r="C48" t="str">
            <v>HSS: Infrastructure</v>
          </cell>
        </row>
        <row r="49">
          <cell r="C49" t="str">
            <v>HSS: Procurement and Supply management</v>
          </cell>
        </row>
        <row r="50">
          <cell r="C50" t="str">
            <v>HSS: other - specify</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_Financial Data"/>
      <sheetName val="Definitions"/>
      <sheetName val="Annex 1"/>
      <sheetName val="Annex 2"/>
      <sheetName val="Annex 3"/>
    </sheetNames>
    <sheetDataSet>
      <sheetData sheetId="0"/>
      <sheetData sheetId="1">
        <row r="39">
          <cell r="C39" t="str">
            <v>Please select…</v>
          </cell>
        </row>
        <row r="40">
          <cell r="C40" t="str">
            <v>Improving diagnosis</v>
          </cell>
        </row>
        <row r="41">
          <cell r="C41" t="str">
            <v>Standardized treatment, patient support and patient charter</v>
          </cell>
        </row>
        <row r="42">
          <cell r="C42" t="str">
            <v>Procurement and Supply management</v>
          </cell>
        </row>
        <row r="43">
          <cell r="C43" t="str">
            <v>M&amp;E</v>
          </cell>
        </row>
        <row r="44">
          <cell r="C44" t="str">
            <v>TB/HIV</v>
          </cell>
        </row>
        <row r="45">
          <cell r="C45" t="str">
            <v>MDR-TB</v>
          </cell>
        </row>
        <row r="46">
          <cell r="C46" t="str">
            <v>High-risk groups</v>
          </cell>
        </row>
        <row r="47">
          <cell r="C47" t="str">
            <v>HSS (beyond TB)</v>
          </cell>
        </row>
        <row r="48">
          <cell r="C48" t="str">
            <v>PAL (Practical Approach to Lung Health)</v>
          </cell>
        </row>
        <row r="49">
          <cell r="C49" t="str">
            <v>PPM / ISTC (Public-Public, Public-Private Mix (PPM) approaches and International standards for TB care)</v>
          </cell>
        </row>
        <row r="50">
          <cell r="C50" t="str">
            <v>ACSM (Advocacy, communication and social mobilization)</v>
          </cell>
        </row>
        <row r="51">
          <cell r="C51" t="str">
            <v>Community TB care</v>
          </cell>
        </row>
        <row r="52">
          <cell r="C52" t="str">
            <v>Programme-based operational research</v>
          </cell>
        </row>
        <row r="53">
          <cell r="C53" t="str">
            <v>Other - specify</v>
          </cell>
        </row>
        <row r="54">
          <cell r="C54" t="str">
            <v>Supportive environment: Program management and administration</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ar 4"/>
      <sheetName val="Year 5"/>
    </sheetNames>
    <sheetDataSet>
      <sheetData sheetId="0" refreshError="1">
        <row r="15">
          <cell r="H15">
            <v>27522</v>
          </cell>
        </row>
        <row r="18">
          <cell r="H18">
            <v>66978</v>
          </cell>
        </row>
        <row r="20">
          <cell r="H20">
            <v>4255</v>
          </cell>
        </row>
        <row r="29">
          <cell r="H29">
            <v>7389</v>
          </cell>
        </row>
        <row r="33">
          <cell r="H33">
            <v>11500</v>
          </cell>
        </row>
        <row r="39">
          <cell r="H39">
            <v>6160</v>
          </cell>
        </row>
        <row r="60">
          <cell r="H60">
            <v>7650</v>
          </cell>
        </row>
      </sheetData>
      <sheetData sheetId="1" refreshError="1">
        <row r="48">
          <cell r="H48">
            <v>6000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ar 4"/>
      <sheetName val="Year 5"/>
    </sheetNames>
    <sheetDataSet>
      <sheetData sheetId="0" refreshError="1">
        <row r="16">
          <cell r="H16">
            <v>4950</v>
          </cell>
        </row>
        <row r="59">
          <cell r="H59">
            <v>4950</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ar 4"/>
      <sheetName val="Year 5"/>
      <sheetName val="Sheet2"/>
      <sheetName val="Sheet1"/>
    </sheetNames>
    <sheetDataSet>
      <sheetData sheetId="0" refreshError="1">
        <row r="8">
          <cell r="H8">
            <v>28160</v>
          </cell>
        </row>
        <row r="9">
          <cell r="H9">
            <v>2800</v>
          </cell>
        </row>
        <row r="10">
          <cell r="H10">
            <v>13500</v>
          </cell>
        </row>
        <row r="11">
          <cell r="H11">
            <v>3000</v>
          </cell>
        </row>
        <row r="12">
          <cell r="H12">
            <v>450</v>
          </cell>
        </row>
        <row r="24">
          <cell r="H24">
            <v>4790</v>
          </cell>
        </row>
        <row r="25">
          <cell r="H25">
            <v>5000</v>
          </cell>
        </row>
        <row r="30">
          <cell r="H30">
            <v>474</v>
          </cell>
        </row>
        <row r="34">
          <cell r="H34">
            <v>3085</v>
          </cell>
        </row>
        <row r="43">
          <cell r="H43">
            <v>22500</v>
          </cell>
        </row>
        <row r="46">
          <cell r="H46">
            <v>999</v>
          </cell>
        </row>
        <row r="51">
          <cell r="H51">
            <v>10000</v>
          </cell>
        </row>
        <row r="56">
          <cell r="H56">
            <v>2460</v>
          </cell>
        </row>
      </sheetData>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 Release statement"/>
      <sheetName val="Exp. details"/>
      <sheetName val="Cashflow_GF_Q15"/>
      <sheetName val="Sheet1"/>
      <sheetName val="HIV_Q14"/>
      <sheetName val="VAR_Q14"/>
    </sheetNames>
    <sheetDataSet>
      <sheetData sheetId="0"/>
      <sheetData sheetId="1">
        <row r="221">
          <cell r="H221">
            <v>496495.26</v>
          </cell>
        </row>
        <row r="234">
          <cell r="C234">
            <v>3675051.94</v>
          </cell>
        </row>
        <row r="235">
          <cell r="C235">
            <v>1739638</v>
          </cell>
        </row>
      </sheetData>
      <sheetData sheetId="2"/>
      <sheetData sheetId="3"/>
      <sheetData sheetId="4"/>
      <sheetData sheetId="5"/>
    </sheetDataSet>
  </externalBook>
</externalLink>
</file>

<file path=xl/tables/table1.xml><?xml version="1.0" encoding="utf-8"?>
<table xmlns="http://schemas.openxmlformats.org/spreadsheetml/2006/main" id="1" name="Table1" displayName="Table1" ref="B4:K40" totalsRowShown="0" headerRowDxfId="43" dataDxfId="42" tableBorderDxfId="41">
  <tableColumns count="10">
    <tableColumn id="1" name="Top 10" dataDxfId="40"/>
    <tableColumn id="2" name="Training indicator" dataDxfId="39"/>
    <tableColumn id="11" name="Reverse Indicator?" dataDxfId="38"/>
    <tableColumn id="3" name="Indicator Number" dataDxfId="37"/>
    <tableColumn id="4" name="Indicator Name" dataDxfId="36"/>
    <tableColumn id="5" name="Period" dataDxfId="35"/>
    <tableColumn id="6" name="Value" dataDxfId="34" dataCellStyle="Comma"/>
    <tableColumn id="7" name="R_Period" dataDxfId="33"/>
    <tableColumn id="8" name="R_Value" dataDxfId="32" dataCellStyle="Comma"/>
    <tableColumn id="9" name="Result % (*)" dataDxfId="31">
      <calculatedColumnFormula>IF(J5="","",IF(D5="No",IF(J5/H5&gt;1.2,1.2,J5/H5),IF(D5="Yes",IF(H5/J5&gt;1.2,1.2,H5/J5))))</calculatedColumnFormula>
    </tableColumn>
  </tableColumns>
  <tableStyleInfo name="TableStyleMedium9"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4.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fitToPage="1"/>
  </sheetPr>
  <dimension ref="A1:D19"/>
  <sheetViews>
    <sheetView view="pageBreakPreview" zoomScale="85" zoomScaleNormal="75" zoomScaleSheetLayoutView="85" workbookViewId="0">
      <selection activeCell="H7" sqref="H7"/>
    </sheetView>
  </sheetViews>
  <sheetFormatPr defaultRowHeight="12.75" x14ac:dyDescent="0.2"/>
  <cols>
    <col min="1" max="1" width="144" style="525" customWidth="1"/>
    <col min="2" max="2" width="16.85546875" style="72" customWidth="1"/>
    <col min="3" max="3" width="10.140625" style="72" customWidth="1"/>
    <col min="4" max="4" width="1.140625" style="72" customWidth="1"/>
    <col min="5" max="16384" width="9.140625" style="72"/>
  </cols>
  <sheetData>
    <row r="1" spans="1:4" ht="61.5" customHeight="1" x14ac:dyDescent="0.35">
      <c r="A1" s="1738" t="s">
        <v>333</v>
      </c>
      <c r="B1" s="1738"/>
    </row>
    <row r="2" spans="1:4" ht="25.5" customHeight="1" x14ac:dyDescent="0.2">
      <c r="A2" s="524"/>
      <c r="B2" s="1250"/>
      <c r="C2" s="69"/>
    </row>
    <row r="3" spans="1:4" ht="52.5" customHeight="1" x14ac:dyDescent="0.2">
      <c r="A3" s="1740" t="s">
        <v>334</v>
      </c>
      <c r="B3" s="1740"/>
    </row>
    <row r="4" spans="1:4" ht="35.25" customHeight="1" x14ac:dyDescent="0.25">
      <c r="A4" s="1737" t="s">
        <v>638</v>
      </c>
      <c r="B4" s="1737"/>
      <c r="C4" s="1343"/>
      <c r="D4" s="1343"/>
    </row>
    <row r="5" spans="1:4" ht="23.25" customHeight="1" x14ac:dyDescent="0.25">
      <c r="A5" s="1737"/>
      <c r="B5" s="1737"/>
      <c r="C5" s="1315"/>
      <c r="D5" s="1315"/>
    </row>
    <row r="6" spans="1:4" ht="29.25" customHeight="1" x14ac:dyDescent="0.25">
      <c r="A6" s="1737"/>
      <c r="B6" s="1737"/>
      <c r="C6" s="1344"/>
      <c r="D6" s="1344"/>
    </row>
    <row r="7" spans="1:4" ht="40.5" customHeight="1" x14ac:dyDescent="0.25">
      <c r="A7" s="1737"/>
      <c r="B7" s="1737"/>
      <c r="C7" s="1344"/>
      <c r="D7" s="1344"/>
    </row>
    <row r="8" spans="1:4" ht="24" customHeight="1" x14ac:dyDescent="0.25">
      <c r="A8" s="1737"/>
      <c r="B8" s="1737"/>
      <c r="C8" s="1344"/>
      <c r="D8" s="1344"/>
    </row>
    <row r="9" spans="1:4" ht="21" customHeight="1" x14ac:dyDescent="0.2">
      <c r="A9" s="1737"/>
      <c r="B9" s="1737"/>
      <c r="C9" s="1345"/>
      <c r="D9" s="1345"/>
    </row>
    <row r="10" spans="1:4" ht="45" customHeight="1" x14ac:dyDescent="0.2">
      <c r="A10" s="1737"/>
      <c r="B10" s="1737"/>
      <c r="C10" s="1346"/>
      <c r="D10" s="1346"/>
    </row>
    <row r="11" spans="1:4" ht="15.75" customHeight="1" x14ac:dyDescent="0.2">
      <c r="A11" s="1737"/>
      <c r="B11" s="1737"/>
      <c r="C11" s="1316"/>
      <c r="D11" s="1316"/>
    </row>
    <row r="12" spans="1:4" ht="93.75" customHeight="1" x14ac:dyDescent="0.25">
      <c r="A12" s="1737"/>
      <c r="B12" s="1737"/>
      <c r="C12" s="1314"/>
      <c r="D12" s="1314"/>
    </row>
    <row r="13" spans="1:4" ht="31.5" customHeight="1" x14ac:dyDescent="0.25">
      <c r="A13" s="1737"/>
      <c r="B13" s="1737"/>
      <c r="C13" s="1314"/>
      <c r="D13" s="1314"/>
    </row>
    <row r="14" spans="1:4" ht="27.75" customHeight="1" x14ac:dyDescent="0.25">
      <c r="A14" s="1737"/>
      <c r="B14" s="1737"/>
      <c r="C14" s="1343"/>
      <c r="D14" s="1343"/>
    </row>
    <row r="15" spans="1:4" ht="84.75" customHeight="1" x14ac:dyDescent="0.25">
      <c r="A15" s="1737"/>
      <c r="B15" s="1737"/>
      <c r="C15" s="1315"/>
      <c r="D15" s="1315"/>
    </row>
    <row r="16" spans="1:4" ht="15.75" customHeight="1" x14ac:dyDescent="0.25">
      <c r="A16" s="1737"/>
      <c r="B16" s="1737"/>
      <c r="C16" s="1347"/>
      <c r="D16" s="1347"/>
    </row>
    <row r="17" spans="1:4" ht="37.5" customHeight="1" x14ac:dyDescent="0.3">
      <c r="A17" s="1739" t="s">
        <v>506</v>
      </c>
      <c r="B17" s="1739"/>
      <c r="C17" s="1739"/>
      <c r="D17" s="1739"/>
    </row>
    <row r="18" spans="1:4" x14ac:dyDescent="0.2">
      <c r="A18" s="1736"/>
      <c r="B18" s="1736"/>
      <c r="C18" s="1736"/>
      <c r="D18" s="1736"/>
    </row>
    <row r="19" spans="1:4" x14ac:dyDescent="0.2">
      <c r="A19" s="1736"/>
      <c r="B19" s="1736"/>
      <c r="C19" s="1736"/>
      <c r="D19" s="1736"/>
    </row>
  </sheetData>
  <sheetProtection password="92D1" sheet="1" selectLockedCells="1"/>
  <customSheetViews>
    <customSheetView guid="{E26F941C-F347-432D-B4B3-73B25F002075}" scale="75" showPageBreaks="1" fitToPage="1" printArea="1">
      <selection activeCell="G16" sqref="G16"/>
      <pageMargins left="0.74803149606299213" right="0.74803149606299213" top="0.98425196850393704" bottom="0.98425196850393704" header="0.51181102362204722" footer="0.51181102362204722"/>
      <printOptions horizontalCentered="1"/>
      <pageSetup paperSize="9" scale="87" orientation="landscape" r:id="rId1"/>
      <headerFooter alignWithMargins="0">
        <oddFooter>&amp;L&amp;9SD 3.1A - Form, Ongoing DR/PU and LFA Review and Recommendation_v2.1 February 2006&amp;R&amp;9Page &amp;P of &amp;N</oddFooter>
      </headerFooter>
    </customSheetView>
  </customSheetViews>
  <mergeCells count="6">
    <mergeCell ref="A19:D19"/>
    <mergeCell ref="A4:B16"/>
    <mergeCell ref="A1:B1"/>
    <mergeCell ref="A17:D17"/>
    <mergeCell ref="A18:D18"/>
    <mergeCell ref="A3:B3"/>
  </mergeCells>
  <phoneticPr fontId="0" type="noConversion"/>
  <printOptions horizontalCentered="1"/>
  <pageMargins left="0.74803149606299213" right="0.74803149606299213" top="0.59055118110236227" bottom="0.59055118110236227" header="0.51181102362204722" footer="0.51181102362204722"/>
  <pageSetup paperSize="9" scale="76" orientation="landscape" cellComments="asDisplayed" r:id="rId2"/>
  <headerFooter alignWithMargins="0">
    <oddFooter>&amp;L&amp;9&amp;F&amp;C&amp;A&amp;R&amp;9Page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O31"/>
  <sheetViews>
    <sheetView showGridLines="0" view="pageBreakPreview" zoomScale="85" zoomScaleNormal="75" zoomScaleSheetLayoutView="85" workbookViewId="0">
      <selection activeCell="A19" sqref="A19:O23"/>
    </sheetView>
  </sheetViews>
  <sheetFormatPr defaultRowHeight="12.75" x14ac:dyDescent="0.2"/>
  <cols>
    <col min="1" max="1" width="9.140625" style="72"/>
    <col min="2" max="2" width="33.85546875" style="72" customWidth="1"/>
    <col min="3" max="3" width="22.42578125" style="72" customWidth="1"/>
    <col min="4" max="4" width="16.7109375" style="72" customWidth="1"/>
    <col min="5" max="5" width="12.5703125" style="72" customWidth="1"/>
    <col min="6" max="6" width="15.7109375" style="72" customWidth="1"/>
    <col min="7" max="11" width="9.140625" style="72"/>
    <col min="12" max="12" width="3.28515625" style="72" customWidth="1"/>
    <col min="13" max="14" width="9.140625" style="72"/>
    <col min="15" max="15" width="10.85546875" style="72" customWidth="1"/>
    <col min="16" max="16384" width="9.140625" style="72"/>
  </cols>
  <sheetData>
    <row r="1" spans="1:15" ht="35.25" customHeight="1" x14ac:dyDescent="0.2">
      <c r="A1" s="1741" t="s">
        <v>410</v>
      </c>
      <c r="B1" s="1741"/>
      <c r="C1" s="1741"/>
      <c r="D1" s="1741"/>
      <c r="E1" s="1741"/>
      <c r="F1" s="1741"/>
      <c r="G1" s="35"/>
      <c r="H1" s="35"/>
      <c r="I1" s="12"/>
      <c r="J1" s="12"/>
      <c r="K1" s="12"/>
    </row>
    <row r="2" spans="1:15" ht="16.5" thickBot="1" x14ac:dyDescent="0.3">
      <c r="A2" s="98" t="s">
        <v>504</v>
      </c>
    </row>
    <row r="3" spans="1:15" ht="15.75" thickBot="1" x14ac:dyDescent="0.25">
      <c r="A3" s="1742" t="s">
        <v>419</v>
      </c>
      <c r="B3" s="1743"/>
      <c r="C3" s="1803" t="str">
        <f>IF('LFA_Programmatic Progress_1A'!C7="","",'LFA_Programmatic Progress_1A'!C7)</f>
        <v>BTN-607-G03-H</v>
      </c>
      <c r="D3" s="1804"/>
      <c r="E3" s="1804"/>
      <c r="F3" s="1805"/>
      <c r="G3" s="73"/>
      <c r="H3" s="73"/>
      <c r="I3" s="73"/>
      <c r="J3" s="73"/>
      <c r="K3" s="73"/>
    </row>
    <row r="4" spans="1:15" ht="15" x14ac:dyDescent="0.2">
      <c r="A4" s="492" t="s">
        <v>621</v>
      </c>
      <c r="B4" s="512"/>
      <c r="C4" s="53" t="s">
        <v>627</v>
      </c>
      <c r="D4" s="504" t="str">
        <f>IF('LFA_Programmatic Progress_1A'!D12="Select","",'LFA_Programmatic Progress_1A'!D12)</f>
        <v>Quarter</v>
      </c>
      <c r="E4" s="5" t="s">
        <v>628</v>
      </c>
      <c r="F4" s="47">
        <f>IF('LFA_Programmatic Progress_1A'!F12="Select","",'LFA_Programmatic Progress_1A'!F12)</f>
        <v>17</v>
      </c>
      <c r="G4" s="73"/>
      <c r="H4" s="73"/>
      <c r="I4" s="73"/>
      <c r="J4" s="73"/>
      <c r="K4" s="73"/>
    </row>
    <row r="5" spans="1:15" ht="15" x14ac:dyDescent="0.2">
      <c r="A5" s="513" t="s">
        <v>622</v>
      </c>
      <c r="B5" s="40"/>
      <c r="C5" s="54" t="s">
        <v>590</v>
      </c>
      <c r="D5" s="519">
        <f>IF('LFA_Programmatic Progress_1A'!D13="","",'LFA_Programmatic Progress_1A'!D13)</f>
        <v>40940</v>
      </c>
      <c r="E5" s="5" t="s">
        <v>608</v>
      </c>
      <c r="F5" s="520">
        <f>IF('LFA_Programmatic Progress_1A'!F13="","",'LFA_Programmatic Progress_1A'!F13)</f>
        <v>41029</v>
      </c>
      <c r="G5" s="73"/>
      <c r="H5" s="73"/>
      <c r="I5" s="73"/>
      <c r="J5" s="73"/>
      <c r="K5" s="73"/>
    </row>
    <row r="6" spans="1:15" ht="15.75" thickBot="1" x14ac:dyDescent="0.25">
      <c r="A6" s="55" t="s">
        <v>623</v>
      </c>
      <c r="B6" s="41"/>
      <c r="C6" s="1816">
        <f>IF('LFA_Programmatic Progress_1A'!C14="Select","",'LFA_Programmatic Progress_1A'!C14)</f>
        <v>17</v>
      </c>
      <c r="D6" s="1817"/>
      <c r="E6" s="1817"/>
      <c r="F6" s="1818"/>
      <c r="G6" s="73"/>
      <c r="H6" s="73"/>
      <c r="I6" s="73"/>
      <c r="J6" s="73"/>
      <c r="K6" s="73"/>
    </row>
    <row r="8" spans="1:15" ht="20.25" x14ac:dyDescent="0.3">
      <c r="A8" s="172" t="s">
        <v>217</v>
      </c>
      <c r="B8" s="172"/>
      <c r="C8" s="172"/>
      <c r="D8" s="172"/>
      <c r="E8" s="172"/>
      <c r="F8" s="172"/>
      <c r="G8" s="172"/>
      <c r="H8" s="172"/>
      <c r="I8" s="172"/>
      <c r="J8" s="172"/>
      <c r="K8" s="172"/>
    </row>
    <row r="9" spans="1:15" ht="20.25" x14ac:dyDescent="0.3">
      <c r="A9" s="172"/>
      <c r="B9" s="172"/>
      <c r="C9" s="172"/>
      <c r="D9" s="172"/>
      <c r="E9" s="172"/>
      <c r="F9" s="172"/>
      <c r="G9" s="172"/>
      <c r="H9" s="172"/>
      <c r="I9" s="172"/>
      <c r="J9" s="172"/>
      <c r="K9" s="172"/>
    </row>
    <row r="10" spans="1:15" ht="20.25" customHeight="1" x14ac:dyDescent="0.25">
      <c r="A10" s="2118" t="s">
        <v>636</v>
      </c>
      <c r="B10" s="2119"/>
      <c r="C10" s="2119"/>
      <c r="D10" s="2119"/>
      <c r="E10" s="2119"/>
      <c r="F10" s="2119"/>
      <c r="G10" s="2119"/>
      <c r="H10" s="2119"/>
      <c r="I10" s="2119"/>
      <c r="J10" s="2119"/>
      <c r="K10" s="2119"/>
      <c r="L10" s="2119"/>
      <c r="M10" s="2119"/>
      <c r="N10" s="2119"/>
      <c r="O10" s="2119"/>
    </row>
    <row r="11" spans="1:15" ht="36" customHeight="1" x14ac:dyDescent="0.2">
      <c r="A11" s="2116" t="s">
        <v>341</v>
      </c>
      <c r="B11" s="2117"/>
      <c r="C11" s="2117"/>
      <c r="D11" s="2117"/>
      <c r="E11" s="2117"/>
      <c r="F11" s="2117"/>
      <c r="G11" s="2117"/>
      <c r="H11" s="2117"/>
      <c r="I11" s="2117"/>
      <c r="J11" s="2117"/>
      <c r="K11" s="2117"/>
    </row>
    <row r="12" spans="1:15" ht="12.75" customHeight="1" x14ac:dyDescent="0.2">
      <c r="A12" s="2107" t="s">
        <v>751</v>
      </c>
      <c r="B12" s="2108"/>
      <c r="C12" s="2108"/>
      <c r="D12" s="2108"/>
      <c r="E12" s="2108"/>
      <c r="F12" s="2108"/>
      <c r="G12" s="2108"/>
      <c r="H12" s="2108"/>
      <c r="I12" s="2108"/>
      <c r="J12" s="2108"/>
      <c r="K12" s="2108"/>
      <c r="L12" s="2108"/>
      <c r="M12" s="2108"/>
      <c r="N12" s="2108"/>
      <c r="O12" s="2109"/>
    </row>
    <row r="13" spans="1:15" ht="12.75" customHeight="1" x14ac:dyDescent="0.2">
      <c r="A13" s="2110"/>
      <c r="B13" s="2111"/>
      <c r="C13" s="2111"/>
      <c r="D13" s="2111"/>
      <c r="E13" s="2111"/>
      <c r="F13" s="2111"/>
      <c r="G13" s="2111"/>
      <c r="H13" s="2111"/>
      <c r="I13" s="2111"/>
      <c r="J13" s="2111"/>
      <c r="K13" s="2111"/>
      <c r="L13" s="2111"/>
      <c r="M13" s="2111"/>
      <c r="N13" s="2111"/>
      <c r="O13" s="2112"/>
    </row>
    <row r="14" spans="1:15" ht="12.75" customHeight="1" x14ac:dyDescent="0.2">
      <c r="A14" s="2110"/>
      <c r="B14" s="2111"/>
      <c r="C14" s="2111"/>
      <c r="D14" s="2111"/>
      <c r="E14" s="2111"/>
      <c r="F14" s="2111"/>
      <c r="G14" s="2111"/>
      <c r="H14" s="2111"/>
      <c r="I14" s="2111"/>
      <c r="J14" s="2111"/>
      <c r="K14" s="2111"/>
      <c r="L14" s="2111"/>
      <c r="M14" s="2111"/>
      <c r="N14" s="2111"/>
      <c r="O14" s="2112"/>
    </row>
    <row r="15" spans="1:15" ht="12.75" customHeight="1" x14ac:dyDescent="0.2">
      <c r="A15" s="2110"/>
      <c r="B15" s="2111"/>
      <c r="C15" s="2111"/>
      <c r="D15" s="2111"/>
      <c r="E15" s="2111"/>
      <c r="F15" s="2111"/>
      <c r="G15" s="2111"/>
      <c r="H15" s="2111"/>
      <c r="I15" s="2111"/>
      <c r="J15" s="2111"/>
      <c r="K15" s="2111"/>
      <c r="L15" s="2111"/>
      <c r="M15" s="2111"/>
      <c r="N15" s="2111"/>
      <c r="O15" s="2112"/>
    </row>
    <row r="16" spans="1:15" ht="81.75" customHeight="1" x14ac:dyDescent="0.2">
      <c r="A16" s="2113"/>
      <c r="B16" s="2114"/>
      <c r="C16" s="2114"/>
      <c r="D16" s="2114"/>
      <c r="E16" s="2114"/>
      <c r="F16" s="2114"/>
      <c r="G16" s="2114"/>
      <c r="H16" s="2114"/>
      <c r="I16" s="2114"/>
      <c r="J16" s="2114"/>
      <c r="K16" s="2114"/>
      <c r="L16" s="2114"/>
      <c r="M16" s="2114"/>
      <c r="N16" s="2114"/>
      <c r="O16" s="2115"/>
    </row>
    <row r="17" spans="1:15" ht="20.25" x14ac:dyDescent="0.3">
      <c r="A17" s="172"/>
      <c r="B17" s="172"/>
      <c r="C17" s="172"/>
      <c r="D17" s="172"/>
      <c r="E17" s="172"/>
      <c r="F17" s="172"/>
      <c r="G17" s="172"/>
      <c r="H17" s="172"/>
      <c r="I17" s="172"/>
      <c r="J17" s="172"/>
      <c r="K17" s="172"/>
    </row>
    <row r="18" spans="1:15" ht="18" x14ac:dyDescent="0.2">
      <c r="A18" s="2096" t="s">
        <v>632</v>
      </c>
      <c r="B18" s="2097"/>
      <c r="C18" s="2097"/>
      <c r="D18" s="2097"/>
      <c r="E18" s="2097"/>
      <c r="F18" s="2097"/>
      <c r="G18" s="2097"/>
      <c r="H18" s="2097"/>
      <c r="I18" s="2097"/>
      <c r="J18" s="2097"/>
      <c r="K18" s="2097"/>
      <c r="L18" s="2097"/>
      <c r="M18" s="2097"/>
      <c r="N18" s="2097"/>
      <c r="O18" s="2097"/>
    </row>
    <row r="19" spans="1:15" ht="12.75" customHeight="1" x14ac:dyDescent="0.2">
      <c r="A19" s="2098" t="s">
        <v>0</v>
      </c>
      <c r="B19" s="2099"/>
      <c r="C19" s="2099"/>
      <c r="D19" s="2099"/>
      <c r="E19" s="2099"/>
      <c r="F19" s="2099"/>
      <c r="G19" s="2099"/>
      <c r="H19" s="2099"/>
      <c r="I19" s="2099"/>
      <c r="J19" s="2099"/>
      <c r="K19" s="2099"/>
      <c r="L19" s="2099"/>
      <c r="M19" s="2099"/>
      <c r="N19" s="2099"/>
      <c r="O19" s="2100"/>
    </row>
    <row r="20" spans="1:15" ht="12.75" customHeight="1" x14ac:dyDescent="0.2">
      <c r="A20" s="2101"/>
      <c r="B20" s="2102"/>
      <c r="C20" s="2102"/>
      <c r="D20" s="2102"/>
      <c r="E20" s="2102"/>
      <c r="F20" s="2102"/>
      <c r="G20" s="2102"/>
      <c r="H20" s="2102"/>
      <c r="I20" s="2102"/>
      <c r="J20" s="2102"/>
      <c r="K20" s="2102"/>
      <c r="L20" s="2102"/>
      <c r="M20" s="2102"/>
      <c r="N20" s="2102"/>
      <c r="O20" s="2103"/>
    </row>
    <row r="21" spans="1:15" ht="12.75" customHeight="1" x14ac:dyDescent="0.2">
      <c r="A21" s="2101"/>
      <c r="B21" s="2102"/>
      <c r="C21" s="2102"/>
      <c r="D21" s="2102"/>
      <c r="E21" s="2102"/>
      <c r="F21" s="2102"/>
      <c r="G21" s="2102"/>
      <c r="H21" s="2102"/>
      <c r="I21" s="2102"/>
      <c r="J21" s="2102"/>
      <c r="K21" s="2102"/>
      <c r="L21" s="2102"/>
      <c r="M21" s="2102"/>
      <c r="N21" s="2102"/>
      <c r="O21" s="2103"/>
    </row>
    <row r="22" spans="1:15" ht="12.75" customHeight="1" x14ac:dyDescent="0.2">
      <c r="A22" s="2101"/>
      <c r="B22" s="2102"/>
      <c r="C22" s="2102"/>
      <c r="D22" s="2102"/>
      <c r="E22" s="2102"/>
      <c r="F22" s="2102"/>
      <c r="G22" s="2102"/>
      <c r="H22" s="2102"/>
      <c r="I22" s="2102"/>
      <c r="J22" s="2102"/>
      <c r="K22" s="2102"/>
      <c r="L22" s="2102"/>
      <c r="M22" s="2102"/>
      <c r="N22" s="2102"/>
      <c r="O22" s="2103"/>
    </row>
    <row r="23" spans="1:15" ht="12.75" customHeight="1" x14ac:dyDescent="0.2">
      <c r="A23" s="2104"/>
      <c r="B23" s="2105"/>
      <c r="C23" s="2105"/>
      <c r="D23" s="2105"/>
      <c r="E23" s="2105"/>
      <c r="F23" s="2105"/>
      <c r="G23" s="2105"/>
      <c r="H23" s="2105"/>
      <c r="I23" s="2105"/>
      <c r="J23" s="2105"/>
      <c r="K23" s="2105"/>
      <c r="L23" s="2105"/>
      <c r="M23" s="2105"/>
      <c r="N23" s="2105"/>
      <c r="O23" s="2106"/>
    </row>
    <row r="24" spans="1:15" ht="14.25" x14ac:dyDescent="0.2">
      <c r="A24" s="559"/>
      <c r="B24" s="559"/>
      <c r="C24" s="559"/>
      <c r="D24" s="559"/>
      <c r="E24" s="559"/>
      <c r="F24" s="559"/>
      <c r="G24" s="559"/>
      <c r="H24" s="559"/>
      <c r="I24" s="559"/>
      <c r="J24" s="559"/>
      <c r="K24" s="559"/>
    </row>
    <row r="25" spans="1:15" ht="18" x14ac:dyDescent="0.2">
      <c r="A25" s="2096" t="s">
        <v>633</v>
      </c>
      <c r="B25" s="2097"/>
      <c r="C25" s="2097"/>
      <c r="D25" s="2097"/>
      <c r="E25" s="2097"/>
      <c r="F25" s="2097"/>
      <c r="G25" s="2097"/>
      <c r="H25" s="2097"/>
      <c r="I25" s="2097"/>
      <c r="J25" s="2097"/>
      <c r="K25" s="2097"/>
      <c r="L25" s="2097"/>
      <c r="M25" s="2097"/>
      <c r="N25" s="2097"/>
      <c r="O25" s="2097"/>
    </row>
    <row r="26" spans="1:15" ht="12.75" customHeight="1" x14ac:dyDescent="0.2">
      <c r="A26" s="2098"/>
      <c r="B26" s="2099"/>
      <c r="C26" s="2099"/>
      <c r="D26" s="2099"/>
      <c r="E26" s="2099"/>
      <c r="F26" s="2099"/>
      <c r="G26" s="2099"/>
      <c r="H26" s="2099"/>
      <c r="I26" s="2099"/>
      <c r="J26" s="2099"/>
      <c r="K26" s="2099"/>
      <c r="L26" s="2099"/>
      <c r="M26" s="2099"/>
      <c r="N26" s="2099"/>
      <c r="O26" s="2100"/>
    </row>
    <row r="27" spans="1:15" ht="12.75" customHeight="1" x14ac:dyDescent="0.2">
      <c r="A27" s="2101"/>
      <c r="B27" s="2102"/>
      <c r="C27" s="2102"/>
      <c r="D27" s="2102"/>
      <c r="E27" s="2102"/>
      <c r="F27" s="2102"/>
      <c r="G27" s="2102"/>
      <c r="H27" s="2102"/>
      <c r="I27" s="2102"/>
      <c r="J27" s="2102"/>
      <c r="K27" s="2102"/>
      <c r="L27" s="2102"/>
      <c r="M27" s="2102"/>
      <c r="N27" s="2102"/>
      <c r="O27" s="2103"/>
    </row>
    <row r="28" spans="1:15" ht="12.75" customHeight="1" x14ac:dyDescent="0.2">
      <c r="A28" s="2101"/>
      <c r="B28" s="2102"/>
      <c r="C28" s="2102"/>
      <c r="D28" s="2102"/>
      <c r="E28" s="2102"/>
      <c r="F28" s="2102"/>
      <c r="G28" s="2102"/>
      <c r="H28" s="2102"/>
      <c r="I28" s="2102"/>
      <c r="J28" s="2102"/>
      <c r="K28" s="2102"/>
      <c r="L28" s="2102"/>
      <c r="M28" s="2102"/>
      <c r="N28" s="2102"/>
      <c r="O28" s="2103"/>
    </row>
    <row r="29" spans="1:15" ht="12.75" customHeight="1" x14ac:dyDescent="0.2">
      <c r="A29" s="2101"/>
      <c r="B29" s="2102"/>
      <c r="C29" s="2102"/>
      <c r="D29" s="2102"/>
      <c r="E29" s="2102"/>
      <c r="F29" s="2102"/>
      <c r="G29" s="2102"/>
      <c r="H29" s="2102"/>
      <c r="I29" s="2102"/>
      <c r="J29" s="2102"/>
      <c r="K29" s="2102"/>
      <c r="L29" s="2102"/>
      <c r="M29" s="2102"/>
      <c r="N29" s="2102"/>
      <c r="O29" s="2103"/>
    </row>
    <row r="30" spans="1:15" ht="12.75" customHeight="1" x14ac:dyDescent="0.2">
      <c r="A30" s="2104"/>
      <c r="B30" s="2105"/>
      <c r="C30" s="2105"/>
      <c r="D30" s="2105"/>
      <c r="E30" s="2105"/>
      <c r="F30" s="2105"/>
      <c r="G30" s="2105"/>
      <c r="H30" s="2105"/>
      <c r="I30" s="2105"/>
      <c r="J30" s="2105"/>
      <c r="K30" s="2105"/>
      <c r="L30" s="2105"/>
      <c r="M30" s="2105"/>
      <c r="N30" s="2105"/>
      <c r="O30" s="2106"/>
    </row>
    <row r="31" spans="1:15" x14ac:dyDescent="0.2">
      <c r="A31" s="3"/>
      <c r="B31" s="3"/>
      <c r="C31" s="3"/>
      <c r="D31" s="3"/>
      <c r="E31" s="3"/>
      <c r="F31" s="3"/>
      <c r="G31" s="3"/>
      <c r="H31" s="3"/>
      <c r="I31" s="3"/>
      <c r="J31" s="3"/>
      <c r="K31" s="3"/>
    </row>
  </sheetData>
  <sheetProtection password="92D1" sheet="1" formatCells="0" formatColumns="0" formatRows="0"/>
  <mergeCells count="11">
    <mergeCell ref="A26:O30"/>
    <mergeCell ref="A12:O16"/>
    <mergeCell ref="A11:K11"/>
    <mergeCell ref="A10:O10"/>
    <mergeCell ref="A18:O18"/>
    <mergeCell ref="A1:F1"/>
    <mergeCell ref="A3:B3"/>
    <mergeCell ref="C3:F3"/>
    <mergeCell ref="C6:F6"/>
    <mergeCell ref="A25:O25"/>
    <mergeCell ref="A19:O23"/>
  </mergeCells>
  <phoneticPr fontId="37" type="noConversion"/>
  <printOptions horizontalCentered="1"/>
  <pageMargins left="0.74803149606299213" right="0.74803149606299213" top="0.59055118110236227" bottom="0.59055118110236227" header="0.51181102362204722" footer="0.51181102362204722"/>
  <pageSetup paperSize="9" scale="67" fitToHeight="0" orientation="landscape" cellComments="asDisplayed" r:id="rId1"/>
  <headerFooter>
    <oddFooter>&amp;L&amp;9&amp;F&amp;C&amp;A&amp;R&amp;9Page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pageSetUpPr fitToPage="1"/>
  </sheetPr>
  <dimension ref="A1:O40"/>
  <sheetViews>
    <sheetView showGridLines="0" showRuler="0" view="pageBreakPreview" zoomScale="70" zoomScaleNormal="70" zoomScaleSheetLayoutView="70" zoomScalePageLayoutView="75" workbookViewId="0">
      <selection activeCell="F2" sqref="F2"/>
    </sheetView>
  </sheetViews>
  <sheetFormatPr defaultRowHeight="12.75" x14ac:dyDescent="0.2"/>
  <cols>
    <col min="1" max="1" width="24.42578125" style="72" customWidth="1"/>
    <col min="2" max="2" width="29" style="72" customWidth="1"/>
    <col min="3" max="3" width="29.7109375" style="72" customWidth="1"/>
    <col min="4" max="4" width="18.42578125" style="72" customWidth="1"/>
    <col min="5" max="5" width="12.28515625" style="72" customWidth="1"/>
    <col min="6" max="6" width="19.28515625" style="72" customWidth="1"/>
    <col min="7" max="7" width="9.140625" style="72"/>
    <col min="8" max="8" width="6.28515625" style="72" customWidth="1"/>
    <col min="9" max="9" width="9.140625" style="72"/>
    <col min="10" max="10" width="9.7109375" style="72" customWidth="1"/>
    <col min="11" max="11" width="18.140625" style="538" customWidth="1"/>
    <col min="12" max="13" width="20.140625" style="72" customWidth="1"/>
    <col min="14" max="16384" width="9.140625" style="72"/>
  </cols>
  <sheetData>
    <row r="1" spans="1:13" ht="25.5" customHeight="1" x14ac:dyDescent="0.35">
      <c r="A1" s="1916" t="s">
        <v>410</v>
      </c>
      <c r="B1" s="1916"/>
      <c r="C1" s="1916"/>
      <c r="D1" s="1916"/>
      <c r="E1" s="1916"/>
      <c r="F1" s="1916"/>
      <c r="G1" s="34"/>
      <c r="H1" s="34"/>
      <c r="I1" s="34"/>
      <c r="J1" s="2"/>
      <c r="K1" s="2"/>
      <c r="L1" s="2"/>
      <c r="M1" s="3"/>
    </row>
    <row r="2" spans="1:13" s="63" customFormat="1" ht="27.75" customHeight="1" thickBot="1" x14ac:dyDescent="0.3">
      <c r="A2" s="99" t="s">
        <v>503</v>
      </c>
      <c r="B2" s="13"/>
      <c r="C2" s="13"/>
      <c r="D2" s="37"/>
      <c r="E2" s="13"/>
      <c r="F2" s="13"/>
      <c r="G2" s="13"/>
      <c r="H2" s="38"/>
      <c r="I2" s="13"/>
      <c r="J2" s="13"/>
      <c r="K2" s="13"/>
      <c r="L2" s="13"/>
      <c r="M2" s="13"/>
    </row>
    <row r="3" spans="1:13" ht="15" customHeight="1" x14ac:dyDescent="0.25">
      <c r="A3" s="2125" t="s">
        <v>417</v>
      </c>
      <c r="B3" s="2126"/>
      <c r="C3" s="2137" t="str">
        <f>IF('PR_Programmatic Progress_1A'!C5:F5="","",'PR_Programmatic Progress_1A'!C5:F5)</f>
        <v>Bhutan</v>
      </c>
      <c r="D3" s="2137"/>
      <c r="E3" s="2137"/>
      <c r="F3" s="2138"/>
      <c r="G3" s="3"/>
      <c r="H3" s="3"/>
      <c r="I3" s="3"/>
      <c r="J3" s="3"/>
      <c r="K3" s="3"/>
      <c r="L3" s="3"/>
      <c r="M3" s="3"/>
    </row>
    <row r="4" spans="1:13" ht="15" customHeight="1" x14ac:dyDescent="0.25">
      <c r="A4" s="2127" t="s">
        <v>418</v>
      </c>
      <c r="B4" s="2128"/>
      <c r="C4" s="2144" t="str">
        <f>IF('PR_Programmatic Progress_1A'!C6:F6="Select","",'PR_Programmatic Progress_1A'!C6:F6)</f>
        <v>HIV/AIDS</v>
      </c>
      <c r="D4" s="2144"/>
      <c r="E4" s="2144"/>
      <c r="F4" s="2145"/>
      <c r="G4" s="3"/>
      <c r="H4" s="3"/>
      <c r="I4" s="3"/>
      <c r="J4" s="3"/>
      <c r="K4" s="3"/>
      <c r="L4" s="3"/>
      <c r="M4" s="3"/>
    </row>
    <row r="5" spans="1:13" ht="24.75" customHeight="1" x14ac:dyDescent="0.25">
      <c r="A5" s="2127" t="s">
        <v>419</v>
      </c>
      <c r="B5" s="2128"/>
      <c r="C5" s="2146" t="str">
        <f>IF('PR_Programmatic Progress_1A'!C7:F7="","",'PR_Programmatic Progress_1A'!C7:F7)</f>
        <v>BTN-607-G03-H</v>
      </c>
      <c r="D5" s="2146"/>
      <c r="E5" s="2146"/>
      <c r="F5" s="2147"/>
      <c r="G5" s="3"/>
      <c r="H5" s="3"/>
      <c r="I5" s="3"/>
      <c r="J5" s="3"/>
      <c r="K5" s="3"/>
      <c r="L5" s="3"/>
      <c r="M5" s="3"/>
    </row>
    <row r="6" spans="1:13" s="63" customFormat="1" ht="15" customHeight="1" x14ac:dyDescent="0.2">
      <c r="A6" s="1750" t="s">
        <v>588</v>
      </c>
      <c r="B6" s="1751"/>
      <c r="C6" s="2148" t="str">
        <f>IF('PR_Programmatic Progress_1A'!C8:F8="","",'PR_Programmatic Progress_1A'!C8:F8)</f>
        <v xml:space="preserve">Ministry of Health </v>
      </c>
      <c r="D6" s="2149"/>
      <c r="E6" s="2149"/>
      <c r="F6" s="2150"/>
      <c r="G6" s="49"/>
      <c r="H6" s="13"/>
      <c r="I6" s="13"/>
      <c r="J6" s="13"/>
      <c r="K6" s="13"/>
      <c r="L6" s="13"/>
      <c r="M6" s="13"/>
    </row>
    <row r="7" spans="1:13" ht="15" customHeight="1" x14ac:dyDescent="0.25">
      <c r="A7" s="2127" t="s">
        <v>613</v>
      </c>
      <c r="B7" s="2128"/>
      <c r="C7" s="2131">
        <f>IF('PR_Programmatic Progress_1A'!C9:F9="","",'PR_Programmatic Progress_1A'!C9:F9)</f>
        <v>39479</v>
      </c>
      <c r="D7" s="2131"/>
      <c r="E7" s="2131"/>
      <c r="F7" s="2132"/>
      <c r="G7" s="3"/>
      <c r="H7" s="3"/>
      <c r="I7" s="3"/>
      <c r="J7" s="3"/>
      <c r="K7" s="3"/>
      <c r="L7" s="3"/>
      <c r="M7" s="3"/>
    </row>
    <row r="8" spans="1:13" ht="15" customHeight="1" thickBot="1" x14ac:dyDescent="0.3">
      <c r="A8" s="2139" t="s">
        <v>589</v>
      </c>
      <c r="B8" s="2140"/>
      <c r="C8" s="2142" t="str">
        <f>IF('PR_Programmatic Progress_1A'!C10="Select","",'PR_Programmatic Progress_1A'!C10)</f>
        <v>USD</v>
      </c>
      <c r="D8" s="2142"/>
      <c r="E8" s="2142"/>
      <c r="F8" s="2143"/>
      <c r="G8" s="3"/>
      <c r="H8" s="3"/>
      <c r="I8" s="3"/>
      <c r="J8" s="3"/>
      <c r="K8" s="3"/>
      <c r="L8" s="3"/>
      <c r="M8" s="3"/>
    </row>
    <row r="9" spans="1:13" s="63" customFormat="1" ht="27" customHeight="1" thickBot="1" x14ac:dyDescent="0.3">
      <c r="A9" s="98" t="s">
        <v>504</v>
      </c>
      <c r="B9" s="10"/>
      <c r="C9" s="10"/>
      <c r="D9" s="36"/>
      <c r="E9" s="10"/>
      <c r="F9" s="10"/>
      <c r="G9" s="10"/>
      <c r="H9" s="11"/>
      <c r="I9" s="10"/>
      <c r="J9" s="12"/>
      <c r="K9" s="12"/>
      <c r="L9" s="12"/>
      <c r="M9" s="13"/>
    </row>
    <row r="10" spans="1:13" s="73" customFormat="1" ht="15" customHeight="1" x14ac:dyDescent="0.2">
      <c r="A10" s="493" t="s">
        <v>621</v>
      </c>
      <c r="B10" s="496"/>
      <c r="C10" s="53" t="s">
        <v>627</v>
      </c>
      <c r="D10" s="521" t="str">
        <f>IF('PR_Programmatic Progress_1A'!D12="Select","",'PR_Programmatic Progress_1A'!D12)</f>
        <v>Quarter</v>
      </c>
      <c r="E10" s="43" t="s">
        <v>628</v>
      </c>
      <c r="F10" s="81">
        <f>IF('PR_Programmatic Progress_1A'!F12="Select","",'PR_Programmatic Progress_1A'!F12)</f>
        <v>17</v>
      </c>
      <c r="G10" s="4"/>
      <c r="H10" s="4"/>
      <c r="I10" s="4"/>
      <c r="J10" s="4"/>
      <c r="K10" s="4"/>
      <c r="L10" s="4"/>
      <c r="M10" s="4"/>
    </row>
    <row r="11" spans="1:13" s="73" customFormat="1" ht="15" customHeight="1" x14ac:dyDescent="0.2">
      <c r="A11" s="513" t="s">
        <v>622</v>
      </c>
      <c r="B11" s="40"/>
      <c r="C11" s="54" t="s">
        <v>590</v>
      </c>
      <c r="D11" s="519">
        <f>IF('PR_Programmatic Progress_1A'!D13="","",'PR_Programmatic Progress_1A'!D13)</f>
        <v>40940</v>
      </c>
      <c r="E11" s="5" t="s">
        <v>608</v>
      </c>
      <c r="F11" s="520">
        <f>IF('PR_Programmatic Progress_1A'!F13="","",'PR_Programmatic Progress_1A'!F13)</f>
        <v>41029</v>
      </c>
      <c r="G11" s="4"/>
      <c r="H11" s="4"/>
      <c r="I11" s="4"/>
      <c r="J11" s="4"/>
      <c r="K11" s="4"/>
      <c r="L11" s="4"/>
      <c r="M11" s="4"/>
    </row>
    <row r="12" spans="1:13" s="73" customFormat="1" ht="15" customHeight="1" thickBot="1" x14ac:dyDescent="0.25">
      <c r="A12" s="55" t="s">
        <v>623</v>
      </c>
      <c r="B12" s="41"/>
      <c r="C12" s="1816">
        <f>IF('PR_Programmatic Progress_1A'!C14:F14="Select","",'PR_Programmatic Progress_1A'!C14:F14)</f>
        <v>17</v>
      </c>
      <c r="D12" s="1817"/>
      <c r="E12" s="1817"/>
      <c r="F12" s="1818"/>
      <c r="G12" s="4"/>
      <c r="H12" s="4"/>
      <c r="I12" s="4"/>
      <c r="J12" s="4"/>
      <c r="K12" s="4"/>
      <c r="L12" s="4"/>
      <c r="M12" s="4"/>
    </row>
    <row r="13" spans="1:13" s="63" customFormat="1" ht="27" customHeight="1" thickBot="1" x14ac:dyDescent="0.3">
      <c r="A13" s="98" t="s">
        <v>505</v>
      </c>
      <c r="B13" s="10"/>
      <c r="C13" s="10"/>
      <c r="D13" s="36"/>
      <c r="E13" s="10"/>
      <c r="F13" s="10"/>
      <c r="G13" s="10"/>
      <c r="H13" s="11"/>
      <c r="I13" s="10"/>
      <c r="J13" s="12"/>
      <c r="K13" s="12"/>
      <c r="L13" s="12"/>
      <c r="M13" s="13"/>
    </row>
    <row r="14" spans="1:13" s="73" customFormat="1" ht="15" customHeight="1" x14ac:dyDescent="0.2">
      <c r="A14" s="493" t="s">
        <v>579</v>
      </c>
      <c r="B14" s="496"/>
      <c r="C14" s="53" t="s">
        <v>627</v>
      </c>
      <c r="D14" s="521" t="str">
        <f>IF('PR_Programmatic Progress_1A'!D16="Select","",'PR_Programmatic Progress_1A'!D16)</f>
        <v>Semester</v>
      </c>
      <c r="E14" s="43" t="s">
        <v>628</v>
      </c>
      <c r="F14" s="81">
        <f>IF('PR_Programmatic Progress_1A'!F16="Select","",'PR_Programmatic Progress_1A'!F16)</f>
        <v>8</v>
      </c>
      <c r="G14" s="4"/>
      <c r="H14" s="4"/>
      <c r="I14" s="4"/>
      <c r="J14" s="4"/>
      <c r="K14" s="4"/>
      <c r="L14" s="4"/>
      <c r="M14" s="4"/>
    </row>
    <row r="15" spans="1:13" s="73" customFormat="1" ht="15" customHeight="1" x14ac:dyDescent="0.2">
      <c r="A15" s="513" t="s">
        <v>22</v>
      </c>
      <c r="B15" s="40"/>
      <c r="C15" s="54" t="s">
        <v>590</v>
      </c>
      <c r="D15" s="519">
        <f>IF('PR_Programmatic Progress_1A'!D17="","",'PR_Programmatic Progress_1A'!D17)</f>
        <v>41030</v>
      </c>
      <c r="E15" s="5" t="s">
        <v>608</v>
      </c>
      <c r="F15" s="520">
        <f>IF('PR_Programmatic Progress_1A'!F17="","",'PR_Programmatic Progress_1A'!F17)</f>
        <v>41213</v>
      </c>
      <c r="G15" s="4"/>
      <c r="H15" s="4"/>
      <c r="I15" s="4"/>
      <c r="J15" s="4"/>
      <c r="K15" s="4"/>
      <c r="L15" s="4"/>
      <c r="M15" s="4"/>
    </row>
    <row r="16" spans="1:13" s="73" customFormat="1" ht="15" customHeight="1" thickBot="1" x14ac:dyDescent="0.25">
      <c r="A16" s="55" t="s">
        <v>23</v>
      </c>
      <c r="B16" s="41"/>
      <c r="C16" s="1816">
        <f>IF('PR_Programmatic Progress_1A'!C18:F18="Select","",'PR_Programmatic Progress_1A'!C18:F18)</f>
        <v>8</v>
      </c>
      <c r="D16" s="1817"/>
      <c r="E16" s="1817"/>
      <c r="F16" s="1818"/>
      <c r="G16" s="4"/>
      <c r="H16" s="4"/>
      <c r="I16" s="4"/>
      <c r="J16" s="4"/>
      <c r="K16" s="4"/>
      <c r="L16" s="4"/>
      <c r="M16" s="4"/>
    </row>
    <row r="17" spans="1:15" ht="16.5" customHeight="1" x14ac:dyDescent="0.25">
      <c r="A17" s="42"/>
      <c r="B17" s="42"/>
      <c r="C17" s="24"/>
      <c r="D17" s="24"/>
      <c r="E17" s="24"/>
      <c r="F17" s="24"/>
      <c r="G17" s="31"/>
      <c r="H17" s="31"/>
      <c r="I17" s="31"/>
      <c r="J17" s="31"/>
      <c r="K17" s="31"/>
      <c r="L17" s="31"/>
      <c r="M17" s="31"/>
    </row>
    <row r="18" spans="1:15" ht="36.75" customHeight="1" x14ac:dyDescent="0.3">
      <c r="A18" s="165" t="s">
        <v>218</v>
      </c>
      <c r="B18" s="166"/>
      <c r="C18" s="7"/>
      <c r="D18" s="6"/>
      <c r="E18" s="6"/>
      <c r="F18" s="6"/>
      <c r="G18" s="6"/>
      <c r="H18" s="7"/>
      <c r="I18" s="6"/>
      <c r="J18" s="6"/>
      <c r="K18" s="8"/>
      <c r="L18" s="6"/>
      <c r="M18" s="2"/>
      <c r="N18" s="69"/>
      <c r="O18" s="69"/>
    </row>
    <row r="19" spans="1:15" s="74" customFormat="1" ht="18.75" thickBot="1" x14ac:dyDescent="0.3">
      <c r="A19" s="2120" t="s">
        <v>605</v>
      </c>
      <c r="B19" s="2121"/>
      <c r="C19" s="2121"/>
      <c r="D19" s="2121"/>
      <c r="E19" s="2121"/>
      <c r="F19" s="2121"/>
      <c r="G19" s="2121"/>
      <c r="H19" s="2121"/>
      <c r="I19" s="2121"/>
      <c r="J19" s="2121"/>
      <c r="K19" s="2121"/>
      <c r="L19" s="2121"/>
      <c r="M19" s="2121"/>
    </row>
    <row r="20" spans="1:15" s="74" customFormat="1" ht="15.75" x14ac:dyDescent="0.25">
      <c r="A20" s="1894"/>
      <c r="B20" s="1894"/>
      <c r="C20" s="1894"/>
      <c r="D20" s="1894"/>
      <c r="E20" s="1894"/>
      <c r="F20" s="1894"/>
      <c r="G20" s="1894"/>
      <c r="H20" s="1894"/>
      <c r="I20" s="1894"/>
      <c r="J20" s="1894"/>
      <c r="K20" s="1894"/>
      <c r="L20" s="1894"/>
      <c r="M20" s="1894"/>
    </row>
    <row r="21" spans="1:15" s="74" customFormat="1" ht="15.75" x14ac:dyDescent="0.25">
      <c r="A21" s="22" t="s">
        <v>497</v>
      </c>
      <c r="B21" s="18"/>
      <c r="C21" s="18"/>
      <c r="D21" s="18"/>
      <c r="E21" s="18"/>
      <c r="F21" s="18"/>
      <c r="G21" s="18"/>
      <c r="H21" s="18"/>
      <c r="I21" s="18"/>
      <c r="J21" s="18"/>
      <c r="K21" s="18"/>
      <c r="L21" s="26"/>
      <c r="M21" s="26"/>
    </row>
    <row r="22" spans="1:15" s="74" customFormat="1" ht="15.75" x14ac:dyDescent="0.25">
      <c r="A22" s="22"/>
      <c r="B22" s="18"/>
      <c r="C22" s="18"/>
      <c r="D22" s="18"/>
      <c r="E22" s="18"/>
      <c r="F22" s="18"/>
      <c r="G22" s="18"/>
      <c r="H22" s="18"/>
      <c r="I22" s="18"/>
      <c r="J22" s="18"/>
      <c r="K22" s="18"/>
      <c r="L22" s="26"/>
      <c r="M22" s="26"/>
    </row>
    <row r="23" spans="1:15" s="74" customFormat="1" ht="29.25" customHeight="1" x14ac:dyDescent="0.25">
      <c r="A23" s="2129" t="s">
        <v>170</v>
      </c>
      <c r="B23" s="2130"/>
      <c r="C23" s="2130"/>
      <c r="D23" s="817">
        <f>+'PR_Disbursement Request_5B'!S36</f>
        <v>432578.24</v>
      </c>
      <c r="E23" s="463"/>
      <c r="F23" s="17"/>
      <c r="G23" s="18"/>
      <c r="H23" s="18"/>
      <c r="I23" s="18"/>
      <c r="J23" s="18"/>
      <c r="K23" s="18"/>
      <c r="L23" s="26"/>
      <c r="M23" s="26"/>
    </row>
    <row r="24" spans="1:15" s="74" customFormat="1" ht="12" customHeight="1" x14ac:dyDescent="0.25">
      <c r="A24" s="22"/>
      <c r="B24" s="18"/>
      <c r="C24" s="18"/>
      <c r="D24" s="18"/>
      <c r="E24" s="18"/>
      <c r="F24" s="18"/>
      <c r="G24" s="18"/>
      <c r="H24" s="18"/>
      <c r="I24" s="18"/>
      <c r="J24" s="18"/>
      <c r="K24" s="18"/>
      <c r="L24" s="26"/>
      <c r="M24" s="26"/>
    </row>
    <row r="25" spans="1:15" s="74" customFormat="1" ht="15.75" x14ac:dyDescent="0.25">
      <c r="A25" s="22" t="str">
        <f>"2.  Amount requested in words (in: "&amp;IF('PR_Programmatic Progress_1A'!$C$10="Select","please select currency in 'PR_Section 1A')",'PR_Programmatic Progress_1A'!$C$10&amp;"):")</f>
        <v>2.  Amount requested in words (in: USD):</v>
      </c>
      <c r="B25" s="18"/>
      <c r="C25" s="17"/>
      <c r="D25" s="2124" t="s">
        <v>1179</v>
      </c>
      <c r="E25" s="2124"/>
      <c r="F25" s="2124"/>
      <c r="G25" s="2124"/>
      <c r="H25" s="2124"/>
      <c r="I25" s="2124"/>
      <c r="J25" s="2124"/>
      <c r="K25" s="2124"/>
      <c r="L25" s="2124"/>
      <c r="M25" s="26"/>
    </row>
    <row r="26" spans="1:15" s="74" customFormat="1" ht="20.100000000000001" customHeight="1" x14ac:dyDescent="0.2">
      <c r="A26" s="27"/>
      <c r="B26" s="27"/>
      <c r="C26" s="27"/>
      <c r="D26" s="27"/>
      <c r="E26" s="27"/>
      <c r="F26" s="27"/>
      <c r="G26" s="27"/>
      <c r="H26" s="27"/>
      <c r="I26" s="27"/>
      <c r="J26" s="27"/>
      <c r="K26" s="28"/>
      <c r="L26" s="27"/>
      <c r="M26" s="27"/>
    </row>
    <row r="27" spans="1:15" s="74" customFormat="1" ht="20.100000000000001" customHeight="1" x14ac:dyDescent="0.25">
      <c r="A27" s="2120" t="s">
        <v>614</v>
      </c>
      <c r="B27" s="2121"/>
      <c r="C27" s="2121"/>
      <c r="D27" s="2121"/>
      <c r="E27" s="2121"/>
      <c r="F27" s="2121"/>
      <c r="G27" s="2121"/>
      <c r="H27" s="2121"/>
      <c r="I27" s="2121"/>
      <c r="J27" s="2121"/>
      <c r="K27" s="2121"/>
      <c r="L27" s="2121"/>
      <c r="M27" s="2121"/>
    </row>
    <row r="28" spans="1:15" s="510" customFormat="1" ht="45.75" customHeight="1" x14ac:dyDescent="0.2">
      <c r="A28" s="2122" t="s">
        <v>617</v>
      </c>
      <c r="B28" s="2122"/>
      <c r="C28" s="2122"/>
      <c r="D28" s="2122"/>
      <c r="E28" s="2122"/>
      <c r="F28" s="2122"/>
      <c r="G28" s="2122"/>
      <c r="H28" s="2122"/>
      <c r="I28" s="2122"/>
      <c r="J28" s="2122"/>
      <c r="K28" s="2122"/>
      <c r="L28" s="2122"/>
      <c r="M28" s="2122"/>
    </row>
    <row r="29" spans="1:15" s="510" customFormat="1" x14ac:dyDescent="0.2">
      <c r="A29" s="23"/>
      <c r="B29" s="23"/>
      <c r="C29" s="23"/>
      <c r="D29" s="23"/>
      <c r="E29" s="23"/>
      <c r="F29" s="23"/>
      <c r="G29" s="23"/>
      <c r="H29" s="29"/>
      <c r="I29" s="23"/>
      <c r="J29" s="23"/>
      <c r="K29" s="30"/>
      <c r="L29" s="23"/>
      <c r="M29" s="23"/>
    </row>
    <row r="30" spans="1:15" s="510" customFormat="1" ht="37.5" customHeight="1" x14ac:dyDescent="0.2">
      <c r="A30" s="2122" t="s">
        <v>606</v>
      </c>
      <c r="B30" s="2122"/>
      <c r="C30" s="2123"/>
      <c r="D30" s="2123"/>
      <c r="E30" s="2123"/>
      <c r="F30" s="23"/>
      <c r="G30" s="23"/>
      <c r="H30" s="29"/>
      <c r="I30" s="23"/>
      <c r="J30" s="23"/>
      <c r="K30" s="30"/>
      <c r="L30" s="23"/>
      <c r="M30" s="23"/>
    </row>
    <row r="31" spans="1:15" ht="14.25" x14ac:dyDescent="0.2">
      <c r="A31" s="3"/>
      <c r="B31" s="3"/>
      <c r="C31" s="816"/>
      <c r="D31" s="816"/>
      <c r="E31" s="816"/>
      <c r="F31" s="3"/>
      <c r="G31" s="3"/>
      <c r="H31" s="31"/>
      <c r="I31" s="3"/>
      <c r="J31" s="3"/>
      <c r="K31" s="16"/>
      <c r="L31" s="3"/>
      <c r="M31" s="3"/>
    </row>
    <row r="32" spans="1:15" ht="28.5" customHeight="1" x14ac:dyDescent="0.25">
      <c r="A32" s="32" t="s">
        <v>610</v>
      </c>
      <c r="B32" s="3"/>
      <c r="C32" s="2141" t="s">
        <v>729</v>
      </c>
      <c r="D32" s="2141"/>
      <c r="E32" s="2141"/>
      <c r="F32" s="3"/>
      <c r="G32" s="3"/>
      <c r="H32" s="31"/>
      <c r="I32" s="3"/>
      <c r="J32" s="3"/>
      <c r="K32" s="16"/>
      <c r="L32" s="3"/>
      <c r="M32" s="3"/>
    </row>
    <row r="33" spans="1:13" ht="25.5" customHeight="1" x14ac:dyDescent="0.25">
      <c r="A33" s="32" t="s">
        <v>611</v>
      </c>
      <c r="B33" s="3"/>
      <c r="C33" s="2141" t="s">
        <v>1156</v>
      </c>
      <c r="D33" s="2141"/>
      <c r="E33" s="2141"/>
      <c r="F33" s="3"/>
      <c r="G33" s="3"/>
      <c r="H33" s="31"/>
      <c r="I33" s="3"/>
      <c r="J33" s="3"/>
      <c r="K33" s="16"/>
      <c r="L33" s="3"/>
      <c r="M33" s="3"/>
    </row>
    <row r="34" spans="1:13" ht="25.5" customHeight="1" x14ac:dyDescent="0.25">
      <c r="A34" s="32" t="s">
        <v>612</v>
      </c>
      <c r="B34" s="3"/>
      <c r="C34" s="2141" t="s">
        <v>1155</v>
      </c>
      <c r="D34" s="2141"/>
      <c r="E34" s="2141"/>
      <c r="F34" s="3"/>
      <c r="G34" s="3"/>
      <c r="H34" s="31"/>
      <c r="I34" s="3"/>
      <c r="J34" s="3"/>
      <c r="K34" s="16"/>
      <c r="L34" s="3"/>
      <c r="M34" s="3"/>
    </row>
    <row r="35" spans="1:13" x14ac:dyDescent="0.2">
      <c r="A35" s="3"/>
      <c r="B35" s="3"/>
      <c r="C35" s="3"/>
      <c r="D35" s="3"/>
      <c r="E35" s="3"/>
      <c r="F35" s="3"/>
      <c r="G35" s="3"/>
      <c r="H35" s="31"/>
      <c r="I35" s="3"/>
      <c r="J35" s="3"/>
      <c r="K35" s="16"/>
      <c r="L35" s="3"/>
      <c r="M35" s="3"/>
    </row>
    <row r="36" spans="1:13" x14ac:dyDescent="0.2">
      <c r="A36" s="3"/>
      <c r="B36" s="3"/>
      <c r="C36" s="3"/>
      <c r="D36" s="3"/>
      <c r="E36" s="3"/>
      <c r="F36" s="3"/>
      <c r="G36" s="3"/>
      <c r="H36" s="31"/>
      <c r="I36" s="3"/>
      <c r="J36" s="3"/>
      <c r="K36" s="16"/>
      <c r="L36" s="3"/>
      <c r="M36" s="3"/>
    </row>
    <row r="37" spans="1:13" x14ac:dyDescent="0.2">
      <c r="A37" s="2133" t="s">
        <v>236</v>
      </c>
      <c r="B37" s="2134"/>
      <c r="C37" s="2134"/>
      <c r="D37" s="2134"/>
      <c r="E37" s="2134"/>
      <c r="F37" s="2134"/>
      <c r="G37" s="2134"/>
      <c r="H37" s="2135"/>
      <c r="I37" s="2134"/>
      <c r="J37" s="2134"/>
      <c r="K37" s="2136"/>
      <c r="L37" s="2134"/>
      <c r="M37" s="2134"/>
    </row>
    <row r="38" spans="1:13" x14ac:dyDescent="0.2">
      <c r="A38" s="2134"/>
      <c r="B38" s="2134"/>
      <c r="C38" s="2134"/>
      <c r="D38" s="2134"/>
      <c r="E38" s="2134"/>
      <c r="F38" s="2134"/>
      <c r="G38" s="2134"/>
      <c r="H38" s="2135"/>
      <c r="I38" s="2134"/>
      <c r="J38" s="2134"/>
      <c r="K38" s="2136"/>
      <c r="L38" s="2134"/>
      <c r="M38" s="2134"/>
    </row>
    <row r="39" spans="1:13" x14ac:dyDescent="0.2">
      <c r="A39" s="2134"/>
      <c r="B39" s="2134"/>
      <c r="C39" s="2134"/>
      <c r="D39" s="2134"/>
      <c r="E39" s="2134"/>
      <c r="F39" s="2134"/>
      <c r="G39" s="2134"/>
      <c r="H39" s="2135"/>
      <c r="I39" s="2134"/>
      <c r="J39" s="2134"/>
      <c r="K39" s="2136"/>
      <c r="L39" s="2134"/>
      <c r="M39" s="2134"/>
    </row>
    <row r="40" spans="1:13" x14ac:dyDescent="0.2">
      <c r="A40" s="3"/>
      <c r="B40" s="3"/>
      <c r="C40" s="3"/>
      <c r="D40" s="3"/>
      <c r="E40" s="3"/>
      <c r="F40" s="3"/>
      <c r="G40" s="3"/>
      <c r="H40" s="31"/>
      <c r="I40" s="3"/>
      <c r="J40" s="3"/>
      <c r="K40" s="16"/>
      <c r="L40" s="3"/>
      <c r="M40" s="3"/>
    </row>
  </sheetData>
  <sheetProtection password="92D1" sheet="1" formatCells="0" formatColumns="0"/>
  <customSheetViews>
    <customSheetView guid="{E26F941C-F347-432D-B4B3-73B25F002075}" scale="75" showGridLines="0" fitToPage="1">
      <selection activeCell="I16" sqref="I16"/>
      <pageMargins left="0.47" right="0.43" top="0.47" bottom="0.56999999999999995" header="0.41" footer="0.34"/>
      <printOptions horizontalCentered="1"/>
      <pageSetup paperSize="9" scale="56" orientation="landscape" cellComments="asDisplayed" r:id="rId1"/>
      <headerFooter alignWithMargins="0">
        <oddFooter>&amp;L&amp;9SD 3.1A - Form, Ongoing DR/PU and LFA Review and Recommendation_v2.1 February 2006&amp;R&amp;9Page &amp;P of &amp;N</oddFooter>
      </headerFooter>
    </customSheetView>
  </customSheetViews>
  <mergeCells count="27">
    <mergeCell ref="A37:M39"/>
    <mergeCell ref="C3:F3"/>
    <mergeCell ref="A8:B8"/>
    <mergeCell ref="C34:E34"/>
    <mergeCell ref="C33:E33"/>
    <mergeCell ref="C16:F16"/>
    <mergeCell ref="C8:F8"/>
    <mergeCell ref="C4:F4"/>
    <mergeCell ref="C32:E32"/>
    <mergeCell ref="A28:M28"/>
    <mergeCell ref="A7:B7"/>
    <mergeCell ref="A27:M27"/>
    <mergeCell ref="C5:F5"/>
    <mergeCell ref="A6:B6"/>
    <mergeCell ref="C6:F6"/>
    <mergeCell ref="A20:M20"/>
    <mergeCell ref="A19:M19"/>
    <mergeCell ref="A1:F1"/>
    <mergeCell ref="A30:B30"/>
    <mergeCell ref="C30:E30"/>
    <mergeCell ref="D25:L25"/>
    <mergeCell ref="A3:B3"/>
    <mergeCell ref="A4:B4"/>
    <mergeCell ref="A23:C23"/>
    <mergeCell ref="A5:B5"/>
    <mergeCell ref="C7:F7"/>
    <mergeCell ref="C12:F12"/>
  </mergeCells>
  <phoneticPr fontId="0" type="noConversion"/>
  <dataValidations count="1">
    <dataValidation type="list" allowBlank="1" showInputMessage="1" showErrorMessage="1" sqref="C9:G9 C13:G13">
      <formula1>"Select,USD,EUR"</formula1>
    </dataValidation>
  </dataValidations>
  <printOptions horizontalCentered="1"/>
  <pageMargins left="0.74803149606299213" right="0.74803149606299213" top="0.59055118110236227" bottom="0.59055118110236227" header="0.51181102362204722" footer="0.51181102362204722"/>
  <pageSetup paperSize="9" scale="58" fitToHeight="0" orientation="landscape" cellComments="asDisplayed" r:id="rId2"/>
  <headerFooter alignWithMargins="0">
    <oddFooter>&amp;L&amp;9&amp;F&amp;C&amp;A&amp;R&amp;9Page &amp;P of &amp;N</oddFooter>
  </headerFooter>
  <ignoredErrors>
    <ignoredError sqref="C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M82"/>
  <sheetViews>
    <sheetView view="pageBreakPreview" zoomScale="60" zoomScaleNormal="70" workbookViewId="0">
      <selection activeCell="C7" sqref="C7"/>
    </sheetView>
  </sheetViews>
  <sheetFormatPr defaultColWidth="13.28515625" defaultRowHeight="12.75" x14ac:dyDescent="0.2"/>
  <cols>
    <col min="1" max="1" width="2.42578125" style="761" customWidth="1"/>
    <col min="2" max="2" width="50" style="761" customWidth="1"/>
    <col min="3" max="3" width="50.140625" style="761" customWidth="1"/>
    <col min="4" max="4" width="20.85546875" style="761" customWidth="1"/>
    <col min="5" max="5" width="25.28515625" style="761" customWidth="1"/>
    <col min="6" max="6" width="43.85546875" style="761" customWidth="1"/>
    <col min="7" max="7" width="4.140625" style="761" customWidth="1"/>
    <col min="8" max="8" width="10.140625" style="761" customWidth="1"/>
    <col min="9" max="224" width="9.140625" style="761" customWidth="1"/>
    <col min="225" max="225" width="2.42578125" style="761" customWidth="1"/>
    <col min="226" max="226" width="1.7109375" style="761" customWidth="1"/>
    <col min="227" max="227" width="7" style="761" customWidth="1"/>
    <col min="228" max="228" width="10.140625" style="761" customWidth="1"/>
    <col min="229" max="229" width="15" style="761" customWidth="1"/>
    <col min="230" max="233" width="5.42578125" style="761" customWidth="1"/>
    <col min="234" max="250" width="4.140625" style="761" customWidth="1"/>
    <col min="251" max="251" width="1.7109375" style="761" customWidth="1"/>
    <col min="252" max="16384" width="13.28515625" style="761"/>
  </cols>
  <sheetData>
    <row r="1" spans="1:8" ht="25.5" customHeight="1" x14ac:dyDescent="0.35">
      <c r="A1" s="2151" t="s">
        <v>410</v>
      </c>
      <c r="B1" s="2151"/>
      <c r="C1" s="2151"/>
      <c r="D1" s="2151"/>
    </row>
    <row r="2" spans="1:8" ht="7.5" customHeight="1" x14ac:dyDescent="0.2"/>
    <row r="3" spans="1:8" ht="34.5" customHeight="1" x14ac:dyDescent="0.25">
      <c r="A3" s="2152" t="s">
        <v>186</v>
      </c>
      <c r="B3" s="2152"/>
      <c r="C3" s="2152"/>
      <c r="D3" s="2152"/>
      <c r="E3" s="2152"/>
      <c r="F3" s="1007"/>
    </row>
    <row r="4" spans="1:8" ht="7.5" customHeight="1" x14ac:dyDescent="0.2"/>
    <row r="5" spans="1:8" ht="18.75" customHeight="1" x14ac:dyDescent="0.25">
      <c r="B5" s="1270" t="s">
        <v>219</v>
      </c>
      <c r="C5" s="1270"/>
      <c r="D5" s="1270"/>
      <c r="E5" s="1270"/>
      <c r="F5" s="1270"/>
    </row>
    <row r="6" spans="1:8" ht="10.5" customHeight="1" x14ac:dyDescent="0.2"/>
    <row r="7" spans="1:8" ht="23.25" customHeight="1" x14ac:dyDescent="0.2">
      <c r="B7" s="560" t="s">
        <v>135</v>
      </c>
      <c r="C7" s="681"/>
    </row>
    <row r="8" spans="1:8" ht="6.75" customHeight="1" x14ac:dyDescent="0.2"/>
    <row r="9" spans="1:8" ht="22.5" customHeight="1" x14ac:dyDescent="0.2">
      <c r="B9" s="1005" t="s">
        <v>136</v>
      </c>
      <c r="C9" s="1005"/>
      <c r="D9" s="1005"/>
      <c r="E9" s="1005"/>
      <c r="F9" s="1005"/>
    </row>
    <row r="10" spans="1:8" ht="10.5" customHeight="1" thickBot="1" x14ac:dyDescent="0.25"/>
    <row r="11" spans="1:8" s="762" customFormat="1" ht="29.25" customHeight="1" x14ac:dyDescent="0.25">
      <c r="B11" s="562"/>
      <c r="C11" s="563" t="s">
        <v>137</v>
      </c>
      <c r="D11" s="899" t="s">
        <v>187</v>
      </c>
    </row>
    <row r="12" spans="1:8" s="762" customFormat="1" ht="30.75" customHeight="1" x14ac:dyDescent="0.2">
      <c r="B12" s="1290" t="s">
        <v>188</v>
      </c>
      <c r="C12" s="871" t="str">
        <f>C20</f>
        <v xml:space="preserve">Ministry of Health </v>
      </c>
      <c r="D12" s="873">
        <f>IF(C30="",C24,C30)</f>
        <v>0</v>
      </c>
    </row>
    <row r="13" spans="1:8" s="762" customFormat="1" ht="30.75" customHeight="1" x14ac:dyDescent="0.2">
      <c r="B13" s="1290" t="s">
        <v>139</v>
      </c>
      <c r="C13" s="871">
        <f>C36</f>
        <v>0</v>
      </c>
      <c r="D13" s="873">
        <f>IF(C46="",C40,C46)</f>
        <v>0</v>
      </c>
    </row>
    <row r="14" spans="1:8" s="762" customFormat="1" ht="30.75" customHeight="1" x14ac:dyDescent="0.2">
      <c r="B14" s="1290" t="s">
        <v>140</v>
      </c>
      <c r="C14" s="871">
        <f>C53</f>
        <v>0</v>
      </c>
      <c r="D14" s="873">
        <f>IF(C63="",C57,C63)</f>
        <v>0</v>
      </c>
    </row>
    <row r="15" spans="1:8" s="762" customFormat="1" ht="30.75" customHeight="1" thickBot="1" x14ac:dyDescent="0.25">
      <c r="B15" s="1291" t="s">
        <v>141</v>
      </c>
      <c r="C15" s="682">
        <f>C69</f>
        <v>0</v>
      </c>
      <c r="D15" s="874">
        <f>IF(C79="",C73,C79)</f>
        <v>0</v>
      </c>
    </row>
    <row r="16" spans="1:8" s="762" customFormat="1" ht="33.75" customHeight="1" thickBot="1" x14ac:dyDescent="0.3">
      <c r="B16" s="1008" t="s">
        <v>185</v>
      </c>
      <c r="C16" s="1009"/>
      <c r="D16" s="875">
        <f>SUM(D12:D15)</f>
        <v>0</v>
      </c>
      <c r="E16" s="2153" t="str">
        <f>IF(D16&lt;&gt;'PR_Cash Request_7A&amp;B'!D23,"The total does not match requested amount on PR signature page","")</f>
        <v>The total does not match requested amount on PR signature page</v>
      </c>
      <c r="F16" s="2154"/>
      <c r="H16" s="901"/>
    </row>
    <row r="17" spans="2:13" s="762" customFormat="1" ht="6" customHeight="1" x14ac:dyDescent="0.2">
      <c r="L17" s="764"/>
      <c r="M17" s="764"/>
    </row>
    <row r="18" spans="2:13" s="762" customFormat="1" ht="15" x14ac:dyDescent="0.25">
      <c r="B18" s="1006" t="s">
        <v>138</v>
      </c>
      <c r="C18" s="1006"/>
      <c r="D18" s="1006"/>
      <c r="E18" s="1006"/>
      <c r="F18" s="1006"/>
      <c r="G18" s="763"/>
      <c r="H18" s="763"/>
      <c r="I18" s="763"/>
      <c r="J18" s="763"/>
      <c r="K18" s="763"/>
      <c r="L18" s="763"/>
      <c r="M18" s="763"/>
    </row>
    <row r="19" spans="2:13" ht="10.5" customHeight="1" x14ac:dyDescent="0.2"/>
    <row r="20" spans="2:13" s="762" customFormat="1" ht="30.75" customHeight="1" x14ac:dyDescent="0.2">
      <c r="B20" s="461" t="s">
        <v>142</v>
      </c>
      <c r="C20" s="870" t="s">
        <v>654</v>
      </c>
      <c r="E20" s="905" t="s">
        <v>618</v>
      </c>
      <c r="F20" s="1319" t="s">
        <v>1</v>
      </c>
    </row>
    <row r="21" spans="2:13" s="762" customFormat="1" ht="6" customHeight="1" x14ac:dyDescent="0.2">
      <c r="C21" s="872"/>
      <c r="E21" s="903"/>
      <c r="F21" s="906"/>
    </row>
    <row r="22" spans="2:13" s="762" customFormat="1" ht="25.5" customHeight="1" x14ac:dyDescent="0.2">
      <c r="B22" s="902" t="s">
        <v>192</v>
      </c>
      <c r="C22" s="870" t="s">
        <v>655</v>
      </c>
      <c r="E22" s="905" t="s">
        <v>618</v>
      </c>
      <c r="F22" s="1319" t="s">
        <v>4</v>
      </c>
    </row>
    <row r="23" spans="2:13" s="762" customFormat="1" ht="8.25" customHeight="1" x14ac:dyDescent="0.2">
      <c r="C23" s="872"/>
      <c r="E23" s="903"/>
      <c r="F23" s="906"/>
    </row>
    <row r="24" spans="2:13" s="762" customFormat="1" ht="33.75" customHeight="1" x14ac:dyDescent="0.2">
      <c r="B24" s="462" t="s">
        <v>189</v>
      </c>
      <c r="C24" s="1110"/>
      <c r="D24" s="561"/>
      <c r="E24" s="905" t="s">
        <v>144</v>
      </c>
      <c r="F24" s="1401">
        <v>2108337</v>
      </c>
    </row>
    <row r="25" spans="2:13" s="762" customFormat="1" ht="6" customHeight="1" x14ac:dyDescent="0.2">
      <c r="C25" s="872"/>
      <c r="E25" s="903"/>
      <c r="F25" s="906"/>
    </row>
    <row r="26" spans="2:13" s="762" customFormat="1" ht="35.25" customHeight="1" x14ac:dyDescent="0.2">
      <c r="B26" s="462" t="s">
        <v>143</v>
      </c>
      <c r="C26" s="870"/>
      <c r="E26" s="905" t="s">
        <v>193</v>
      </c>
      <c r="F26" s="1319" t="s">
        <v>3</v>
      </c>
    </row>
    <row r="27" spans="2:13" s="762" customFormat="1" ht="7.5" customHeight="1" x14ac:dyDescent="0.2">
      <c r="C27" s="872"/>
      <c r="E27" s="903"/>
      <c r="F27" s="906"/>
    </row>
    <row r="28" spans="2:13" s="762" customFormat="1" ht="44.25" customHeight="1" x14ac:dyDescent="0.2">
      <c r="B28" s="462" t="s">
        <v>190</v>
      </c>
      <c r="C28" s="1111"/>
      <c r="E28" s="905" t="s">
        <v>619</v>
      </c>
      <c r="F28" s="1319" t="s">
        <v>2</v>
      </c>
    </row>
    <row r="29" spans="2:13" ht="10.5" customHeight="1" x14ac:dyDescent="0.2">
      <c r="E29" s="904"/>
      <c r="F29" s="906"/>
    </row>
    <row r="30" spans="2:13" s="762" customFormat="1" ht="36.75" customHeight="1" x14ac:dyDescent="0.2">
      <c r="B30" s="462" t="s">
        <v>191</v>
      </c>
      <c r="C30" s="1110"/>
      <c r="E30" s="905" t="s">
        <v>145</v>
      </c>
      <c r="F30" s="1319"/>
    </row>
    <row r="31" spans="2:13" ht="10.5" customHeight="1" x14ac:dyDescent="0.2">
      <c r="E31" s="904"/>
      <c r="F31" s="763"/>
    </row>
    <row r="32" spans="2:13" s="762" customFormat="1" ht="36.75" customHeight="1" x14ac:dyDescent="0.2">
      <c r="B32" s="907"/>
      <c r="C32" s="908"/>
      <c r="E32" s="905" t="s">
        <v>146</v>
      </c>
      <c r="F32" s="1319"/>
    </row>
    <row r="33" spans="2:13" s="762" customFormat="1" ht="6.75" customHeight="1" x14ac:dyDescent="0.2">
      <c r="B33" s="561"/>
      <c r="C33" s="561"/>
    </row>
    <row r="34" spans="2:13" s="762" customFormat="1" ht="15" x14ac:dyDescent="0.25">
      <c r="B34" s="1006" t="s">
        <v>139</v>
      </c>
      <c r="C34" s="1006"/>
      <c r="D34" s="1006"/>
      <c r="E34" s="1006"/>
      <c r="F34" s="1006"/>
      <c r="G34" s="763"/>
      <c r="H34" s="763"/>
      <c r="I34" s="763"/>
      <c r="J34" s="763"/>
      <c r="K34" s="763"/>
      <c r="L34" s="763"/>
      <c r="M34" s="763"/>
    </row>
    <row r="35" spans="2:13" ht="10.5" customHeight="1" x14ac:dyDescent="0.2"/>
    <row r="36" spans="2:13" s="762" customFormat="1" ht="30.75" customHeight="1" x14ac:dyDescent="0.2">
      <c r="B36" s="461" t="s">
        <v>142</v>
      </c>
      <c r="C36" s="870"/>
      <c r="E36" s="905" t="s">
        <v>618</v>
      </c>
      <c r="F36" s="1319"/>
    </row>
    <row r="37" spans="2:13" s="762" customFormat="1" ht="6" customHeight="1" x14ac:dyDescent="0.2">
      <c r="C37" s="872"/>
      <c r="E37" s="903"/>
      <c r="F37" s="906"/>
    </row>
    <row r="38" spans="2:13" s="762" customFormat="1" ht="25.5" customHeight="1" x14ac:dyDescent="0.2">
      <c r="B38" s="902" t="s">
        <v>192</v>
      </c>
      <c r="C38" s="870"/>
      <c r="E38" s="905" t="s">
        <v>618</v>
      </c>
      <c r="F38" s="1319"/>
    </row>
    <row r="39" spans="2:13" s="762" customFormat="1" ht="8.25" customHeight="1" x14ac:dyDescent="0.2">
      <c r="C39" s="872"/>
      <c r="E39" s="903"/>
      <c r="F39" s="906"/>
    </row>
    <row r="40" spans="2:13" s="762" customFormat="1" ht="33.75" customHeight="1" x14ac:dyDescent="0.2">
      <c r="B40" s="462" t="s">
        <v>189</v>
      </c>
      <c r="C40" s="1110"/>
      <c r="D40" s="561"/>
      <c r="E40" s="905" t="s">
        <v>144</v>
      </c>
      <c r="F40" s="1319"/>
    </row>
    <row r="41" spans="2:13" s="762" customFormat="1" ht="6" customHeight="1" x14ac:dyDescent="0.2">
      <c r="C41" s="872"/>
      <c r="E41" s="903"/>
      <c r="F41" s="906"/>
    </row>
    <row r="42" spans="2:13" s="762" customFormat="1" ht="28.5" customHeight="1" x14ac:dyDescent="0.2">
      <c r="B42" s="462" t="s">
        <v>143</v>
      </c>
      <c r="C42" s="870"/>
      <c r="E42" s="905" t="s">
        <v>193</v>
      </c>
      <c r="F42" s="1319"/>
    </row>
    <row r="43" spans="2:13" s="762" customFormat="1" ht="7.5" customHeight="1" x14ac:dyDescent="0.2">
      <c r="C43" s="872"/>
      <c r="E43" s="903"/>
      <c r="F43" s="906"/>
    </row>
    <row r="44" spans="2:13" s="762" customFormat="1" ht="44.25" customHeight="1" x14ac:dyDescent="0.2">
      <c r="B44" s="462" t="s">
        <v>190</v>
      </c>
      <c r="C44" s="1111"/>
      <c r="E44" s="905" t="s">
        <v>619</v>
      </c>
      <c r="F44" s="1319"/>
    </row>
    <row r="45" spans="2:13" ht="10.5" customHeight="1" x14ac:dyDescent="0.2">
      <c r="E45" s="904"/>
      <c r="F45" s="906"/>
    </row>
    <row r="46" spans="2:13" s="762" customFormat="1" ht="36.75" customHeight="1" x14ac:dyDescent="0.2">
      <c r="B46" s="462" t="s">
        <v>191</v>
      </c>
      <c r="C46" s="1110"/>
      <c r="E46" s="905" t="s">
        <v>145</v>
      </c>
      <c r="F46" s="1319"/>
    </row>
    <row r="47" spans="2:13" ht="10.5" customHeight="1" x14ac:dyDescent="0.2">
      <c r="E47" s="904"/>
      <c r="F47" s="763"/>
    </row>
    <row r="48" spans="2:13" s="762" customFormat="1" ht="30.75" customHeight="1" x14ac:dyDescent="0.2">
      <c r="B48" s="907"/>
      <c r="C48" s="908"/>
      <c r="E48" s="905" t="s">
        <v>146</v>
      </c>
      <c r="F48" s="1319"/>
    </row>
    <row r="49" spans="2:13" s="762" customFormat="1" ht="5.25" customHeight="1" x14ac:dyDescent="0.2">
      <c r="B49" s="561"/>
      <c r="C49" s="561"/>
    </row>
    <row r="50" spans="2:13" s="762" customFormat="1" ht="2.25" customHeight="1" x14ac:dyDescent="0.2">
      <c r="L50" s="764"/>
      <c r="M50" s="764"/>
    </row>
    <row r="51" spans="2:13" s="762" customFormat="1" ht="15" x14ac:dyDescent="0.25">
      <c r="B51" s="1006" t="s">
        <v>140</v>
      </c>
      <c r="C51" s="1006"/>
      <c r="D51" s="1006"/>
      <c r="E51" s="1006"/>
      <c r="F51" s="1006"/>
      <c r="G51" s="763"/>
      <c r="H51" s="763"/>
      <c r="I51" s="763"/>
      <c r="J51" s="763"/>
      <c r="K51" s="763"/>
      <c r="L51" s="763"/>
      <c r="M51" s="763"/>
    </row>
    <row r="52" spans="2:13" ht="10.5" customHeight="1" x14ac:dyDescent="0.2"/>
    <row r="53" spans="2:13" s="762" customFormat="1" ht="30.75" customHeight="1" x14ac:dyDescent="0.2">
      <c r="B53" s="461" t="s">
        <v>142</v>
      </c>
      <c r="C53" s="870"/>
      <c r="E53" s="905" t="s">
        <v>618</v>
      </c>
      <c r="F53" s="1319"/>
    </row>
    <row r="54" spans="2:13" s="762" customFormat="1" ht="6" customHeight="1" x14ac:dyDescent="0.2">
      <c r="C54" s="872"/>
      <c r="E54" s="903"/>
      <c r="F54" s="906"/>
    </row>
    <row r="55" spans="2:13" s="762" customFormat="1" ht="25.5" customHeight="1" x14ac:dyDescent="0.2">
      <c r="B55" s="902" t="s">
        <v>192</v>
      </c>
      <c r="C55" s="870"/>
      <c r="E55" s="905" t="s">
        <v>618</v>
      </c>
      <c r="F55" s="1319"/>
    </row>
    <row r="56" spans="2:13" s="762" customFormat="1" ht="8.25" customHeight="1" x14ac:dyDescent="0.2">
      <c r="C56" s="872"/>
      <c r="E56" s="903"/>
      <c r="F56" s="906"/>
    </row>
    <row r="57" spans="2:13" s="762" customFormat="1" ht="33.75" customHeight="1" x14ac:dyDescent="0.2">
      <c r="B57" s="462" t="s">
        <v>189</v>
      </c>
      <c r="C57" s="1110"/>
      <c r="D57" s="561"/>
      <c r="E57" s="905" t="s">
        <v>144</v>
      </c>
      <c r="F57" s="1319"/>
    </row>
    <row r="58" spans="2:13" s="762" customFormat="1" ht="6" customHeight="1" x14ac:dyDescent="0.2">
      <c r="C58" s="872"/>
      <c r="E58" s="903"/>
      <c r="F58" s="906"/>
    </row>
    <row r="59" spans="2:13" s="762" customFormat="1" ht="28.5" customHeight="1" x14ac:dyDescent="0.2">
      <c r="B59" s="462" t="s">
        <v>143</v>
      </c>
      <c r="C59" s="870"/>
      <c r="E59" s="905" t="s">
        <v>193</v>
      </c>
      <c r="F59" s="1319"/>
    </row>
    <row r="60" spans="2:13" s="762" customFormat="1" ht="7.5" customHeight="1" x14ac:dyDescent="0.2">
      <c r="C60" s="872"/>
      <c r="E60" s="903"/>
      <c r="F60" s="906"/>
    </row>
    <row r="61" spans="2:13" s="762" customFormat="1" ht="45.75" customHeight="1" x14ac:dyDescent="0.2">
      <c r="B61" s="462" t="s">
        <v>190</v>
      </c>
      <c r="C61" s="1111"/>
      <c r="E61" s="905" t="s">
        <v>619</v>
      </c>
      <c r="F61" s="1319"/>
    </row>
    <row r="62" spans="2:13" ht="10.5" customHeight="1" x14ac:dyDescent="0.2">
      <c r="E62" s="904"/>
      <c r="F62" s="906"/>
    </row>
    <row r="63" spans="2:13" s="762" customFormat="1" ht="36.75" customHeight="1" x14ac:dyDescent="0.2">
      <c r="B63" s="462" t="s">
        <v>191</v>
      </c>
      <c r="C63" s="1110"/>
      <c r="E63" s="905" t="s">
        <v>145</v>
      </c>
      <c r="F63" s="1319"/>
    </row>
    <row r="64" spans="2:13" ht="10.5" customHeight="1" x14ac:dyDescent="0.2">
      <c r="E64" s="904"/>
      <c r="F64" s="763"/>
    </row>
    <row r="65" spans="2:13" s="762" customFormat="1" ht="33.75" customHeight="1" x14ac:dyDescent="0.2">
      <c r="B65" s="907"/>
      <c r="C65" s="908"/>
      <c r="E65" s="905" t="s">
        <v>146</v>
      </c>
      <c r="F65" s="1319"/>
    </row>
    <row r="66" spans="2:13" s="762" customFormat="1" ht="5.25" customHeight="1" x14ac:dyDescent="0.2">
      <c r="B66" s="561"/>
      <c r="C66" s="561"/>
    </row>
    <row r="67" spans="2:13" s="762" customFormat="1" ht="15" x14ac:dyDescent="0.25">
      <c r="B67" s="1006" t="s">
        <v>141</v>
      </c>
      <c r="C67" s="1006"/>
      <c r="D67" s="1006"/>
      <c r="E67" s="1006"/>
      <c r="F67" s="1006"/>
      <c r="G67" s="763"/>
      <c r="H67" s="763"/>
      <c r="I67" s="763"/>
      <c r="J67" s="763"/>
      <c r="K67" s="763"/>
      <c r="L67" s="763"/>
      <c r="M67" s="763"/>
    </row>
    <row r="68" spans="2:13" ht="10.5" customHeight="1" x14ac:dyDescent="0.2"/>
    <row r="69" spans="2:13" s="762" customFormat="1" ht="30.75" customHeight="1" x14ac:dyDescent="0.2">
      <c r="B69" s="461" t="s">
        <v>142</v>
      </c>
      <c r="C69" s="870"/>
      <c r="E69" s="905" t="s">
        <v>618</v>
      </c>
      <c r="F69" s="1319"/>
    </row>
    <row r="70" spans="2:13" s="762" customFormat="1" ht="6" customHeight="1" x14ac:dyDescent="0.2">
      <c r="C70" s="872"/>
      <c r="E70" s="903"/>
      <c r="F70" s="906"/>
    </row>
    <row r="71" spans="2:13" s="762" customFormat="1" ht="25.5" customHeight="1" x14ac:dyDescent="0.2">
      <c r="B71" s="902" t="s">
        <v>192</v>
      </c>
      <c r="C71" s="870"/>
      <c r="E71" s="905" t="s">
        <v>618</v>
      </c>
      <c r="F71" s="1319"/>
    </row>
    <row r="72" spans="2:13" s="762" customFormat="1" ht="8.25" customHeight="1" x14ac:dyDescent="0.2">
      <c r="C72" s="872"/>
      <c r="E72" s="903"/>
      <c r="F72" s="906"/>
    </row>
    <row r="73" spans="2:13" s="762" customFormat="1" ht="33.75" customHeight="1" x14ac:dyDescent="0.2">
      <c r="B73" s="462" t="s">
        <v>189</v>
      </c>
      <c r="C73" s="1110"/>
      <c r="D73" s="561"/>
      <c r="E73" s="905" t="s">
        <v>144</v>
      </c>
      <c r="F73" s="1319"/>
    </row>
    <row r="74" spans="2:13" s="762" customFormat="1" ht="6" customHeight="1" x14ac:dyDescent="0.2">
      <c r="C74" s="872"/>
      <c r="E74" s="903"/>
      <c r="F74" s="906"/>
    </row>
    <row r="75" spans="2:13" s="762" customFormat="1" ht="28.5" customHeight="1" x14ac:dyDescent="0.2">
      <c r="B75" s="462" t="s">
        <v>143</v>
      </c>
      <c r="C75" s="870"/>
      <c r="E75" s="905" t="s">
        <v>193</v>
      </c>
      <c r="F75" s="1319"/>
    </row>
    <row r="76" spans="2:13" s="762" customFormat="1" ht="7.5" customHeight="1" x14ac:dyDescent="0.2">
      <c r="C76" s="872"/>
      <c r="E76" s="903"/>
      <c r="F76" s="906"/>
    </row>
    <row r="77" spans="2:13" s="762" customFormat="1" ht="42.75" customHeight="1" x14ac:dyDescent="0.2">
      <c r="B77" s="462" t="s">
        <v>190</v>
      </c>
      <c r="C77" s="1111"/>
      <c r="E77" s="905" t="s">
        <v>619</v>
      </c>
      <c r="F77" s="1319"/>
    </row>
    <row r="78" spans="2:13" ht="10.5" customHeight="1" x14ac:dyDescent="0.2">
      <c r="E78" s="904"/>
      <c r="F78" s="906"/>
    </row>
    <row r="79" spans="2:13" s="762" customFormat="1" ht="36.75" customHeight="1" x14ac:dyDescent="0.2">
      <c r="B79" s="462" t="s">
        <v>191</v>
      </c>
      <c r="C79" s="1110"/>
      <c r="E79" s="905" t="s">
        <v>145</v>
      </c>
      <c r="F79" s="1319"/>
    </row>
    <row r="80" spans="2:13" ht="6" customHeight="1" x14ac:dyDescent="0.2">
      <c r="E80" s="904"/>
      <c r="F80" s="763"/>
    </row>
    <row r="81" spans="2:6" s="762" customFormat="1" ht="26.25" customHeight="1" x14ac:dyDescent="0.2">
      <c r="B81" s="907"/>
      <c r="C81" s="908"/>
      <c r="E81" s="905" t="s">
        <v>146</v>
      </c>
      <c r="F81" s="1319"/>
    </row>
    <row r="82" spans="2:6" s="762" customFormat="1" ht="12" customHeight="1" x14ac:dyDescent="0.2">
      <c r="B82" s="561"/>
      <c r="C82" s="561"/>
    </row>
  </sheetData>
  <sheetProtection password="92D1" sheet="1" formatCells="0" formatColumns="0"/>
  <mergeCells count="3">
    <mergeCell ref="A1:D1"/>
    <mergeCell ref="A3:E3"/>
    <mergeCell ref="E16:F16"/>
  </mergeCells>
  <phoneticPr fontId="61" type="noConversion"/>
  <conditionalFormatting sqref="E16">
    <cfRule type="cellIs" dxfId="74" priority="1" operator="equal">
      <formula>""</formula>
    </cfRule>
  </conditionalFormatting>
  <pageMargins left="0.70866141732283472" right="0.70866141732283472" top="0.74803149606299213" bottom="0.74803149606299213" header="0.31496062992125984" footer="0.31496062992125984"/>
  <pageSetup paperSize="9" scale="45" fitToHeight="0" orientation="portrait" cellComments="asDisplayed" r:id="rId1"/>
  <headerFooter>
    <oddFooter>&amp;L&amp;F&amp;C&amp;A&amp;R&amp;P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pageSetUpPr fitToPage="1"/>
  </sheetPr>
  <dimension ref="B1:Z40"/>
  <sheetViews>
    <sheetView showGridLines="0" view="pageBreakPreview" zoomScale="55" zoomScaleNormal="70" zoomScaleSheetLayoutView="55" zoomScalePageLayoutView="55" workbookViewId="0">
      <selection activeCell="L15" sqref="L15"/>
    </sheetView>
  </sheetViews>
  <sheetFormatPr defaultRowHeight="12.75" x14ac:dyDescent="0.2"/>
  <cols>
    <col min="1" max="1" width="2" style="72" customWidth="1"/>
    <col min="2" max="2" width="20.42578125" style="72" customWidth="1"/>
    <col min="3" max="3" width="17.5703125" style="72" hidden="1" customWidth="1"/>
    <col min="4" max="4" width="19.5703125" style="72" customWidth="1"/>
    <col min="5" max="5" width="2.28515625" style="72" customWidth="1"/>
    <col min="6" max="6" width="15.42578125" style="72" customWidth="1"/>
    <col min="7" max="7" width="21.7109375" style="72" customWidth="1"/>
    <col min="8" max="8" width="2.42578125" style="72" customWidth="1"/>
    <col min="9" max="9" width="22.140625" style="72" customWidth="1"/>
    <col min="10" max="10" width="24.7109375" style="72" bestFit="1" customWidth="1"/>
    <col min="11" max="11" width="2.5703125" style="72" customWidth="1"/>
    <col min="12" max="12" width="19.7109375" style="72" customWidth="1"/>
    <col min="13" max="13" width="19.42578125" style="72" customWidth="1"/>
    <col min="14" max="14" width="17.5703125" style="453" customWidth="1"/>
    <col min="15" max="15" width="26.28515625" style="72" hidden="1" customWidth="1"/>
    <col min="16" max="16" width="68.28515625" style="72" customWidth="1"/>
    <col min="17" max="17" width="4.140625" style="69" customWidth="1"/>
    <col min="18" max="26" width="9.140625" style="69"/>
    <col min="27" max="16384" width="9.140625" style="72"/>
  </cols>
  <sheetData>
    <row r="1" spans="2:26" ht="25.5" customHeight="1" x14ac:dyDescent="0.35">
      <c r="B1" s="2161" t="s">
        <v>410</v>
      </c>
      <c r="C1" s="2161"/>
      <c r="D1" s="2161"/>
      <c r="E1" s="2161"/>
      <c r="F1" s="2161"/>
      <c r="G1" s="2161"/>
      <c r="H1" s="2161"/>
      <c r="I1" s="2161"/>
      <c r="J1" s="2161"/>
      <c r="K1" s="2161"/>
      <c r="L1" s="2161"/>
      <c r="M1" s="2161"/>
      <c r="N1" s="2161"/>
      <c r="O1" s="2161"/>
      <c r="P1" s="2161"/>
      <c r="Q1" s="1060"/>
      <c r="R1" s="1060"/>
      <c r="S1" s="1060"/>
      <c r="T1" s="1060"/>
      <c r="U1" s="1060"/>
      <c r="V1" s="1060"/>
      <c r="W1" s="1060"/>
      <c r="X1" s="1060"/>
      <c r="Y1" s="1060"/>
      <c r="Z1" s="1060"/>
    </row>
    <row r="2" spans="2:26" ht="14.25" customHeight="1" thickBot="1" x14ac:dyDescent="0.35">
      <c r="B2" s="69"/>
      <c r="C2" s="69"/>
      <c r="D2" s="69"/>
      <c r="E2" s="69"/>
      <c r="F2" s="69"/>
      <c r="G2" s="69"/>
      <c r="H2" s="69"/>
      <c r="I2" s="78"/>
      <c r="J2" s="83"/>
      <c r="K2" s="69"/>
      <c r="L2" s="69"/>
      <c r="M2" s="69"/>
      <c r="N2" s="69"/>
      <c r="R2" s="1022"/>
      <c r="S2" s="1022"/>
      <c r="T2" s="1022"/>
      <c r="U2" s="1022"/>
      <c r="V2" s="1022"/>
      <c r="W2" s="1022"/>
      <c r="X2" s="1022"/>
    </row>
    <row r="3" spans="2:26" s="755" customFormat="1" ht="26.25" customHeight="1" thickBot="1" x14ac:dyDescent="0.3">
      <c r="B3" s="1271" t="s">
        <v>466</v>
      </c>
      <c r="C3" s="1272"/>
      <c r="D3" s="1272"/>
      <c r="E3" s="1272"/>
      <c r="F3" s="1272"/>
      <c r="G3" s="1272"/>
      <c r="H3" s="1272"/>
      <c r="I3" s="1272"/>
      <c r="J3" s="1272"/>
      <c r="K3" s="1272"/>
      <c r="L3" s="1272"/>
      <c r="M3" s="1272"/>
      <c r="N3" s="1272"/>
      <c r="O3" s="1272"/>
      <c r="P3" s="1320"/>
      <c r="Q3" s="754"/>
      <c r="R3" s="754"/>
      <c r="S3" s="754"/>
      <c r="T3" s="754"/>
      <c r="U3" s="754"/>
      <c r="V3" s="754"/>
      <c r="W3" s="754"/>
      <c r="X3" s="754"/>
      <c r="Y3" s="754"/>
      <c r="Z3" s="754"/>
    </row>
    <row r="5" spans="2:26" ht="22.5" customHeight="1" x14ac:dyDescent="0.2">
      <c r="B5" s="72" t="s">
        <v>467</v>
      </c>
      <c r="J5" s="894"/>
      <c r="L5" s="189"/>
      <c r="M5" s="31"/>
      <c r="N5" s="1059"/>
      <c r="O5" s="31"/>
      <c r="P5" s="31"/>
    </row>
    <row r="6" spans="2:26" ht="13.5" thickBot="1" x14ac:dyDescent="0.25"/>
    <row r="7" spans="2:26" ht="15.75" thickBot="1" x14ac:dyDescent="0.25">
      <c r="B7" s="1742" t="s">
        <v>419</v>
      </c>
      <c r="C7" s="1801"/>
      <c r="D7" s="1801"/>
      <c r="E7" s="1801"/>
      <c r="F7" s="1743"/>
      <c r="G7" s="1803" t="str">
        <f>'PR_Programmatic Progress_1A'!C7</f>
        <v>BTN-607-G03-H</v>
      </c>
      <c r="H7" s="1804"/>
      <c r="I7" s="1804"/>
      <c r="J7" s="1804"/>
      <c r="K7" s="1804"/>
      <c r="L7" s="1805"/>
      <c r="O7" s="453"/>
    </row>
    <row r="8" spans="2:26" ht="15" x14ac:dyDescent="0.2">
      <c r="B8" s="492" t="s">
        <v>621</v>
      </c>
      <c r="C8" s="512"/>
      <c r="D8" s="512"/>
      <c r="E8" s="512"/>
      <c r="F8" s="512"/>
      <c r="G8" s="53" t="s">
        <v>627</v>
      </c>
      <c r="H8" s="2162" t="str">
        <f>'PR_Programmatic Progress_1A'!D12</f>
        <v>Quarter</v>
      </c>
      <c r="I8" s="2163"/>
      <c r="J8" s="2166" t="s">
        <v>628</v>
      </c>
      <c r="K8" s="2167"/>
      <c r="L8" s="385">
        <f>'PR_Programmatic Progress_1A'!F12</f>
        <v>17</v>
      </c>
      <c r="O8" s="453"/>
    </row>
    <row r="9" spans="2:26" ht="15" x14ac:dyDescent="0.2">
      <c r="B9" s="513" t="s">
        <v>622</v>
      </c>
      <c r="C9" s="40"/>
      <c r="D9" s="40"/>
      <c r="E9" s="40"/>
      <c r="F9" s="40"/>
      <c r="G9" s="54" t="s">
        <v>590</v>
      </c>
      <c r="H9" s="2164">
        <f>'PR_Programmatic Progress_1A'!D13</f>
        <v>40940</v>
      </c>
      <c r="I9" s="2165"/>
      <c r="J9" s="2166" t="s">
        <v>608</v>
      </c>
      <c r="K9" s="2168"/>
      <c r="L9" s="386">
        <f>'PR_Programmatic Progress_1A'!F13</f>
        <v>41029</v>
      </c>
      <c r="O9" s="453"/>
    </row>
    <row r="10" spans="2:26" ht="15.75" thickBot="1" x14ac:dyDescent="0.25">
      <c r="B10" s="55" t="s">
        <v>623</v>
      </c>
      <c r="C10" s="167"/>
      <c r="D10" s="167"/>
      <c r="E10" s="167"/>
      <c r="F10" s="41"/>
      <c r="G10" s="2158">
        <f>'PR_Programmatic Progress_1A'!C14</f>
        <v>17</v>
      </c>
      <c r="H10" s="2159"/>
      <c r="I10" s="2159"/>
      <c r="J10" s="2159"/>
      <c r="K10" s="2159"/>
      <c r="L10" s="2160"/>
    </row>
    <row r="11" spans="2:26" s="73" customFormat="1" ht="15" customHeight="1" thickBot="1" x14ac:dyDescent="0.25">
      <c r="B11" s="1321" t="s">
        <v>589</v>
      </c>
      <c r="C11" s="1322"/>
      <c r="D11" s="1323"/>
      <c r="E11" s="2155" t="str">
        <f>IF('PR_Programmatic Progress_1A'!C10="Select","",'PR_Programmatic Progress_1A'!C10)</f>
        <v>USD</v>
      </c>
      <c r="F11" s="2156"/>
      <c r="G11" s="2156"/>
      <c r="H11" s="2156"/>
      <c r="I11" s="2156"/>
      <c r="J11" s="2156"/>
      <c r="K11" s="2156"/>
      <c r="L11" s="2157"/>
      <c r="M11" s="4"/>
    </row>
    <row r="12" spans="2:26" x14ac:dyDescent="0.2">
      <c r="N12" s="566"/>
    </row>
    <row r="14" spans="2:26" s="572" customFormat="1" ht="105" x14ac:dyDescent="0.2">
      <c r="B14" s="1324" t="s">
        <v>378</v>
      </c>
      <c r="C14" s="1325" t="s">
        <v>379</v>
      </c>
      <c r="D14" s="1326" t="s">
        <v>380</v>
      </c>
      <c r="E14" s="1327"/>
      <c r="F14" s="1311" t="s">
        <v>130</v>
      </c>
      <c r="G14" s="1326" t="s">
        <v>381</v>
      </c>
      <c r="H14" s="1328"/>
      <c r="I14" s="1311" t="s">
        <v>342</v>
      </c>
      <c r="J14" s="1326" t="s">
        <v>343</v>
      </c>
      <c r="K14" s="1327"/>
      <c r="L14" s="1311" t="s">
        <v>641</v>
      </c>
      <c r="M14" s="1326" t="s">
        <v>344</v>
      </c>
      <c r="N14" s="1326" t="s">
        <v>348</v>
      </c>
      <c r="O14" s="1329" t="s">
        <v>385</v>
      </c>
      <c r="P14" s="1311" t="s">
        <v>326</v>
      </c>
      <c r="Q14" s="1061"/>
      <c r="R14" s="1061"/>
      <c r="S14" s="1061"/>
      <c r="T14" s="1061"/>
      <c r="U14" s="1061"/>
      <c r="V14" s="1061"/>
      <c r="W14" s="1061"/>
      <c r="X14" s="1061"/>
      <c r="Y14" s="1061"/>
      <c r="Z14" s="1061"/>
    </row>
    <row r="15" spans="2:26" ht="42" customHeight="1" x14ac:dyDescent="0.2">
      <c r="B15" s="1403" t="s">
        <v>722</v>
      </c>
      <c r="C15" s="1125">
        <v>0</v>
      </c>
      <c r="D15" s="1404"/>
      <c r="E15" s="818"/>
      <c r="F15" s="1405">
        <v>0</v>
      </c>
      <c r="G15" s="1405"/>
      <c r="H15" s="819"/>
      <c r="I15" s="1405"/>
      <c r="J15" s="1405">
        <v>0</v>
      </c>
      <c r="K15" s="820"/>
      <c r="L15" s="1405"/>
      <c r="M15" s="1062"/>
      <c r="N15" s="1406">
        <f>SUM(I15-L15)</f>
        <v>0</v>
      </c>
      <c r="O15" s="881" t="s">
        <v>365</v>
      </c>
      <c r="P15" s="1330"/>
    </row>
    <row r="16" spans="2:26" ht="42" customHeight="1" x14ac:dyDescent="0.2">
      <c r="B16" s="1403" t="s">
        <v>723</v>
      </c>
      <c r="C16" s="1126">
        <v>0</v>
      </c>
      <c r="D16" s="1404"/>
      <c r="E16" s="821"/>
      <c r="F16" s="1405">
        <v>0</v>
      </c>
      <c r="G16" s="1405">
        <v>0</v>
      </c>
      <c r="H16" s="822"/>
      <c r="I16" s="1405"/>
      <c r="J16" s="1405">
        <v>0</v>
      </c>
      <c r="K16" s="823"/>
      <c r="L16" s="1405"/>
      <c r="M16" s="1062"/>
      <c r="N16" s="1406">
        <f t="shared" ref="N16:N21" si="0">SUM(I16-L16)</f>
        <v>0</v>
      </c>
      <c r="O16" s="882">
        <v>0</v>
      </c>
      <c r="P16" s="1330"/>
    </row>
    <row r="17" spans="2:16" ht="42" customHeight="1" x14ac:dyDescent="0.2">
      <c r="B17" s="1403" t="s">
        <v>724</v>
      </c>
      <c r="C17" s="1126">
        <v>0</v>
      </c>
      <c r="D17" s="1404"/>
      <c r="E17" s="821"/>
      <c r="F17" s="1405">
        <v>0</v>
      </c>
      <c r="G17" s="1405">
        <v>0</v>
      </c>
      <c r="H17" s="822"/>
      <c r="I17" s="1405"/>
      <c r="J17" s="1405">
        <v>0</v>
      </c>
      <c r="K17" s="823"/>
      <c r="L17" s="1405"/>
      <c r="M17" s="1062"/>
      <c r="N17" s="1406">
        <f t="shared" si="0"/>
        <v>0</v>
      </c>
      <c r="O17" s="882">
        <v>0</v>
      </c>
      <c r="P17" s="1330"/>
    </row>
    <row r="18" spans="2:16" ht="42" customHeight="1" x14ac:dyDescent="0.2">
      <c r="B18" s="1403" t="s">
        <v>725</v>
      </c>
      <c r="C18" s="1126">
        <v>0</v>
      </c>
      <c r="D18" s="1404"/>
      <c r="E18" s="821"/>
      <c r="F18" s="1405"/>
      <c r="G18" s="1405">
        <v>0</v>
      </c>
      <c r="H18" s="822"/>
      <c r="I18" s="1405"/>
      <c r="J18" s="1405">
        <v>0</v>
      </c>
      <c r="K18" s="823"/>
      <c r="L18" s="1405"/>
      <c r="M18" s="1062"/>
      <c r="N18" s="1406">
        <f t="shared" si="0"/>
        <v>0</v>
      </c>
      <c r="O18" s="882">
        <v>0</v>
      </c>
      <c r="P18" s="1330"/>
    </row>
    <row r="19" spans="2:16" ht="42" customHeight="1" x14ac:dyDescent="0.2">
      <c r="B19" s="1405" t="s">
        <v>726</v>
      </c>
      <c r="C19" s="1126">
        <v>0</v>
      </c>
      <c r="D19" s="1404"/>
      <c r="E19" s="821"/>
      <c r="F19" s="1405"/>
      <c r="G19" s="1405"/>
      <c r="H19" s="822"/>
      <c r="I19" s="1405"/>
      <c r="J19" s="1405">
        <v>0</v>
      </c>
      <c r="K19" s="823"/>
      <c r="L19" s="1405"/>
      <c r="M19" s="1062"/>
      <c r="N19" s="1406">
        <f t="shared" si="0"/>
        <v>0</v>
      </c>
      <c r="O19" s="882">
        <v>0</v>
      </c>
      <c r="P19" s="1330"/>
    </row>
    <row r="20" spans="2:16" ht="42" customHeight="1" x14ac:dyDescent="0.2">
      <c r="B20" s="1405" t="s">
        <v>727</v>
      </c>
      <c r="C20" s="1126">
        <v>0</v>
      </c>
      <c r="D20" s="1404"/>
      <c r="E20" s="821"/>
      <c r="F20" s="1405"/>
      <c r="G20" s="1405"/>
      <c r="H20" s="822"/>
      <c r="I20" s="1405"/>
      <c r="J20" s="1405">
        <v>0</v>
      </c>
      <c r="K20" s="823"/>
      <c r="L20" s="1405"/>
      <c r="M20" s="1062"/>
      <c r="N20" s="1406">
        <f t="shared" si="0"/>
        <v>0</v>
      </c>
      <c r="O20" s="882">
        <v>0</v>
      </c>
      <c r="P20" s="1330"/>
    </row>
    <row r="21" spans="2:16" ht="42" customHeight="1" x14ac:dyDescent="0.2">
      <c r="B21" s="1403" t="s">
        <v>728</v>
      </c>
      <c r="C21" s="1126">
        <v>0</v>
      </c>
      <c r="D21" s="1404"/>
      <c r="E21" s="821"/>
      <c r="F21" s="1405">
        <v>0</v>
      </c>
      <c r="G21" s="1405">
        <v>0</v>
      </c>
      <c r="H21" s="822"/>
      <c r="I21" s="1405"/>
      <c r="J21" s="1405">
        <v>0</v>
      </c>
      <c r="K21" s="823"/>
      <c r="L21" s="1405"/>
      <c r="M21" s="1062"/>
      <c r="N21" s="1406">
        <f t="shared" si="0"/>
        <v>0</v>
      </c>
      <c r="O21" s="882">
        <v>0</v>
      </c>
      <c r="P21" s="1330"/>
    </row>
    <row r="22" spans="2:16" ht="42" customHeight="1" x14ac:dyDescent="0.2">
      <c r="B22" s="879"/>
      <c r="C22" s="1126">
        <v>0</v>
      </c>
      <c r="D22" s="884"/>
      <c r="E22" s="821"/>
      <c r="F22" s="879">
        <v>0</v>
      </c>
      <c r="G22" s="879">
        <v>0</v>
      </c>
      <c r="H22" s="822"/>
      <c r="I22" s="879">
        <v>0</v>
      </c>
      <c r="J22" s="879">
        <v>0</v>
      </c>
      <c r="K22" s="823"/>
      <c r="L22" s="879">
        <v>0</v>
      </c>
      <c r="M22" s="1062"/>
      <c r="N22" s="1124">
        <f t="shared" ref="N22:N34" si="1">SUM(I22-L22)</f>
        <v>0</v>
      </c>
      <c r="O22" s="882">
        <v>0</v>
      </c>
      <c r="P22" s="1330"/>
    </row>
    <row r="23" spans="2:16" ht="42" customHeight="1" x14ac:dyDescent="0.2">
      <c r="B23" s="879"/>
      <c r="C23" s="1126">
        <v>0</v>
      </c>
      <c r="D23" s="884"/>
      <c r="E23" s="821"/>
      <c r="F23" s="879">
        <v>0</v>
      </c>
      <c r="G23" s="879">
        <v>0</v>
      </c>
      <c r="H23" s="822"/>
      <c r="I23" s="879">
        <v>0</v>
      </c>
      <c r="J23" s="879">
        <v>0</v>
      </c>
      <c r="K23" s="823"/>
      <c r="L23" s="879">
        <v>0</v>
      </c>
      <c r="M23" s="1062"/>
      <c r="N23" s="1124">
        <f>SUM(I23-L23)</f>
        <v>0</v>
      </c>
      <c r="O23" s="882">
        <v>0</v>
      </c>
      <c r="P23" s="1330"/>
    </row>
    <row r="24" spans="2:16" ht="42" customHeight="1" x14ac:dyDescent="0.2">
      <c r="B24" s="879"/>
      <c r="C24" s="1126">
        <v>0</v>
      </c>
      <c r="D24" s="884"/>
      <c r="E24" s="824"/>
      <c r="F24" s="879">
        <v>0</v>
      </c>
      <c r="G24" s="879">
        <v>0</v>
      </c>
      <c r="H24" s="825"/>
      <c r="I24" s="879">
        <v>0</v>
      </c>
      <c r="J24" s="879">
        <v>0</v>
      </c>
      <c r="K24" s="826"/>
      <c r="L24" s="879">
        <v>0</v>
      </c>
      <c r="M24" s="1062"/>
      <c r="N24" s="1124">
        <f t="shared" si="1"/>
        <v>0</v>
      </c>
      <c r="O24" s="882">
        <v>0</v>
      </c>
      <c r="P24" s="1330"/>
    </row>
    <row r="25" spans="2:16" ht="42" customHeight="1" x14ac:dyDescent="0.2">
      <c r="B25" s="879"/>
      <c r="C25" s="1126">
        <v>0</v>
      </c>
      <c r="D25" s="884"/>
      <c r="E25" s="824"/>
      <c r="F25" s="879">
        <v>0</v>
      </c>
      <c r="G25" s="879">
        <v>0</v>
      </c>
      <c r="H25" s="825"/>
      <c r="I25" s="879">
        <v>0</v>
      </c>
      <c r="J25" s="879">
        <v>0</v>
      </c>
      <c r="K25" s="826"/>
      <c r="L25" s="879">
        <v>0</v>
      </c>
      <c r="M25" s="1062"/>
      <c r="N25" s="1124">
        <f t="shared" si="1"/>
        <v>0</v>
      </c>
      <c r="O25" s="882">
        <v>0</v>
      </c>
      <c r="P25" s="1330"/>
    </row>
    <row r="26" spans="2:16" ht="42" customHeight="1" x14ac:dyDescent="0.2">
      <c r="B26" s="879"/>
      <c r="C26" s="1126">
        <v>0</v>
      </c>
      <c r="D26" s="884"/>
      <c r="E26" s="824"/>
      <c r="F26" s="879">
        <v>0</v>
      </c>
      <c r="G26" s="879">
        <v>0</v>
      </c>
      <c r="H26" s="825"/>
      <c r="I26" s="879">
        <v>0</v>
      </c>
      <c r="J26" s="879">
        <v>0</v>
      </c>
      <c r="K26" s="826"/>
      <c r="L26" s="879">
        <v>0</v>
      </c>
      <c r="M26" s="1062"/>
      <c r="N26" s="1124">
        <f t="shared" si="1"/>
        <v>0</v>
      </c>
      <c r="O26" s="882">
        <v>0</v>
      </c>
      <c r="P26" s="1330"/>
    </row>
    <row r="27" spans="2:16" ht="42" customHeight="1" x14ac:dyDescent="0.2">
      <c r="B27" s="879"/>
      <c r="C27" s="1126">
        <v>0</v>
      </c>
      <c r="D27" s="884"/>
      <c r="E27" s="824"/>
      <c r="F27" s="879">
        <v>0</v>
      </c>
      <c r="G27" s="879">
        <v>0</v>
      </c>
      <c r="H27" s="825"/>
      <c r="I27" s="879">
        <v>0</v>
      </c>
      <c r="J27" s="879">
        <v>0</v>
      </c>
      <c r="K27" s="826"/>
      <c r="L27" s="879">
        <v>0</v>
      </c>
      <c r="M27" s="1062"/>
      <c r="N27" s="1124">
        <f t="shared" si="1"/>
        <v>0</v>
      </c>
      <c r="O27" s="882">
        <v>0</v>
      </c>
      <c r="P27" s="1330"/>
    </row>
    <row r="28" spans="2:16" ht="42" customHeight="1" x14ac:dyDescent="0.2">
      <c r="B28" s="879"/>
      <c r="C28" s="1126">
        <v>0</v>
      </c>
      <c r="D28" s="884"/>
      <c r="E28" s="824"/>
      <c r="F28" s="879">
        <v>0</v>
      </c>
      <c r="G28" s="879">
        <v>0</v>
      </c>
      <c r="H28" s="825"/>
      <c r="I28" s="879">
        <v>0</v>
      </c>
      <c r="J28" s="879">
        <v>0</v>
      </c>
      <c r="K28" s="826"/>
      <c r="L28" s="879">
        <v>0</v>
      </c>
      <c r="M28" s="1062"/>
      <c r="N28" s="1124">
        <f t="shared" si="1"/>
        <v>0</v>
      </c>
      <c r="O28" s="882">
        <v>0</v>
      </c>
      <c r="P28" s="1330"/>
    </row>
    <row r="29" spans="2:16" ht="42" customHeight="1" x14ac:dyDescent="0.2">
      <c r="B29" s="879"/>
      <c r="C29" s="1126">
        <v>0</v>
      </c>
      <c r="D29" s="884"/>
      <c r="E29" s="824"/>
      <c r="F29" s="879">
        <v>0</v>
      </c>
      <c r="G29" s="879">
        <v>0</v>
      </c>
      <c r="H29" s="825"/>
      <c r="I29" s="879">
        <v>0</v>
      </c>
      <c r="J29" s="879">
        <v>0</v>
      </c>
      <c r="K29" s="826"/>
      <c r="L29" s="879">
        <v>0</v>
      </c>
      <c r="M29" s="1062"/>
      <c r="N29" s="1124">
        <f t="shared" si="1"/>
        <v>0</v>
      </c>
      <c r="O29" s="882">
        <v>0</v>
      </c>
      <c r="P29" s="1330"/>
    </row>
    <row r="30" spans="2:16" ht="42" customHeight="1" x14ac:dyDescent="0.2">
      <c r="B30" s="879"/>
      <c r="C30" s="1126">
        <v>0</v>
      </c>
      <c r="D30" s="884"/>
      <c r="E30" s="824"/>
      <c r="F30" s="879">
        <v>0</v>
      </c>
      <c r="G30" s="879">
        <v>0</v>
      </c>
      <c r="H30" s="825"/>
      <c r="I30" s="879">
        <v>0</v>
      </c>
      <c r="J30" s="879">
        <v>0</v>
      </c>
      <c r="K30" s="826"/>
      <c r="L30" s="879">
        <v>0</v>
      </c>
      <c r="M30" s="1062"/>
      <c r="N30" s="1124">
        <f t="shared" si="1"/>
        <v>0</v>
      </c>
      <c r="O30" s="882">
        <v>0</v>
      </c>
      <c r="P30" s="1330"/>
    </row>
    <row r="31" spans="2:16" ht="42" customHeight="1" x14ac:dyDescent="0.2">
      <c r="B31" s="879"/>
      <c r="C31" s="1126">
        <v>0</v>
      </c>
      <c r="D31" s="884"/>
      <c r="E31" s="824"/>
      <c r="F31" s="879">
        <v>0</v>
      </c>
      <c r="G31" s="879">
        <v>0</v>
      </c>
      <c r="H31" s="825"/>
      <c r="I31" s="879">
        <v>0</v>
      </c>
      <c r="J31" s="879">
        <v>0</v>
      </c>
      <c r="K31" s="826"/>
      <c r="L31" s="879">
        <v>0</v>
      </c>
      <c r="M31" s="1062"/>
      <c r="N31" s="1124">
        <f t="shared" si="1"/>
        <v>0</v>
      </c>
      <c r="O31" s="882">
        <v>0</v>
      </c>
      <c r="P31" s="1330"/>
    </row>
    <row r="32" spans="2:16" ht="42" customHeight="1" x14ac:dyDescent="0.2">
      <c r="B32" s="879"/>
      <c r="C32" s="1126">
        <v>0</v>
      </c>
      <c r="D32" s="884"/>
      <c r="E32" s="824"/>
      <c r="F32" s="879">
        <v>0</v>
      </c>
      <c r="G32" s="879">
        <v>0</v>
      </c>
      <c r="H32" s="825"/>
      <c r="I32" s="879">
        <v>0</v>
      </c>
      <c r="J32" s="879">
        <v>0</v>
      </c>
      <c r="K32" s="826"/>
      <c r="L32" s="879">
        <v>0</v>
      </c>
      <c r="M32" s="1062"/>
      <c r="N32" s="1124">
        <f t="shared" si="1"/>
        <v>0</v>
      </c>
      <c r="O32" s="882">
        <v>0</v>
      </c>
      <c r="P32" s="1330"/>
    </row>
    <row r="33" spans="2:16" ht="42" customHeight="1" x14ac:dyDescent="0.2">
      <c r="B33" s="879"/>
      <c r="C33" s="1126">
        <v>0</v>
      </c>
      <c r="D33" s="884"/>
      <c r="E33" s="824"/>
      <c r="F33" s="879">
        <v>0</v>
      </c>
      <c r="G33" s="879">
        <v>0</v>
      </c>
      <c r="H33" s="825"/>
      <c r="I33" s="879">
        <v>0</v>
      </c>
      <c r="J33" s="879">
        <v>0</v>
      </c>
      <c r="K33" s="826"/>
      <c r="L33" s="879">
        <v>0</v>
      </c>
      <c r="M33" s="1062"/>
      <c r="N33" s="1124">
        <f t="shared" si="1"/>
        <v>0</v>
      </c>
      <c r="O33" s="882">
        <v>0</v>
      </c>
      <c r="P33" s="1330"/>
    </row>
    <row r="34" spans="2:16" ht="42.75" customHeight="1" x14ac:dyDescent="0.2">
      <c r="B34" s="879"/>
      <c r="C34" s="1126">
        <v>0</v>
      </c>
      <c r="D34" s="884"/>
      <c r="E34" s="821"/>
      <c r="F34" s="879">
        <v>0</v>
      </c>
      <c r="G34" s="879">
        <v>0</v>
      </c>
      <c r="H34" s="822"/>
      <c r="I34" s="879">
        <v>0</v>
      </c>
      <c r="J34" s="879">
        <v>0</v>
      </c>
      <c r="K34" s="823"/>
      <c r="L34" s="879">
        <v>0</v>
      </c>
      <c r="M34" s="1062"/>
      <c r="N34" s="1124">
        <f t="shared" si="1"/>
        <v>0</v>
      </c>
      <c r="O34" s="882">
        <v>0</v>
      </c>
      <c r="P34" s="1330"/>
    </row>
    <row r="35" spans="2:16" ht="14.25" x14ac:dyDescent="0.2">
      <c r="B35" s="88"/>
      <c r="C35" s="827"/>
      <c r="D35" s="88" t="s">
        <v>183</v>
      </c>
      <c r="E35" s="92"/>
      <c r="F35" s="88"/>
      <c r="G35" s="88"/>
      <c r="H35" s="75"/>
      <c r="I35" s="88"/>
      <c r="J35" s="88"/>
      <c r="K35" s="92"/>
      <c r="L35" s="88"/>
      <c r="M35" s="88" t="s">
        <v>183</v>
      </c>
      <c r="N35" s="88"/>
      <c r="O35" s="828"/>
      <c r="P35" s="88"/>
    </row>
    <row r="36" spans="2:16" ht="22.5" customHeight="1" x14ac:dyDescent="0.25">
      <c r="B36" s="88" t="s">
        <v>386</v>
      </c>
      <c r="C36" s="827"/>
      <c r="D36" s="88"/>
      <c r="E36" s="92"/>
      <c r="F36" s="829">
        <f>SUM(F15:F34)</f>
        <v>0</v>
      </c>
      <c r="G36" s="829">
        <f>SUM(G15:G34)</f>
        <v>0</v>
      </c>
      <c r="H36" s="807"/>
      <c r="I36" s="829">
        <f>SUM(I15:I34)</f>
        <v>0</v>
      </c>
      <c r="J36" s="829">
        <f>SUM(J15:J34)</f>
        <v>0</v>
      </c>
      <c r="K36" s="830"/>
      <c r="L36" s="829">
        <f>SUM(L15:L34)</f>
        <v>0</v>
      </c>
      <c r="M36" s="831"/>
      <c r="N36" s="829">
        <f>SUM(N15:N34)</f>
        <v>0</v>
      </c>
      <c r="O36" s="828"/>
      <c r="P36" s="575"/>
    </row>
    <row r="37" spans="2:16" ht="14.25" x14ac:dyDescent="0.2">
      <c r="B37" s="75"/>
      <c r="C37" s="75"/>
      <c r="D37" s="75"/>
      <c r="E37" s="75"/>
      <c r="F37" s="75"/>
      <c r="G37" s="75"/>
      <c r="H37" s="75"/>
      <c r="I37" s="75"/>
      <c r="J37" s="75"/>
      <c r="K37" s="75"/>
      <c r="L37" s="75"/>
      <c r="M37" s="75"/>
      <c r="N37" s="576"/>
      <c r="O37" s="75"/>
      <c r="P37" s="75"/>
    </row>
    <row r="38" spans="2:16" ht="14.25" x14ac:dyDescent="0.2">
      <c r="B38" s="75" t="s">
        <v>172</v>
      </c>
      <c r="C38" s="75"/>
      <c r="D38" s="75"/>
      <c r="E38" s="75"/>
      <c r="F38" s="75"/>
      <c r="G38" s="75"/>
      <c r="H38" s="75"/>
      <c r="I38" s="75"/>
      <c r="J38" s="75"/>
      <c r="K38" s="75"/>
      <c r="L38" s="75"/>
      <c r="M38" s="75"/>
      <c r="N38" s="576"/>
      <c r="O38" s="75"/>
      <c r="P38" s="75"/>
    </row>
    <row r="39" spans="2:16" ht="14.25" x14ac:dyDescent="0.2">
      <c r="B39" s="75" t="s">
        <v>173</v>
      </c>
      <c r="C39" s="75"/>
      <c r="D39" s="75"/>
      <c r="E39" s="75"/>
      <c r="F39" s="75"/>
      <c r="G39" s="75"/>
      <c r="H39" s="75"/>
      <c r="I39" s="75"/>
      <c r="J39" s="75"/>
      <c r="K39" s="75"/>
      <c r="L39" s="75"/>
      <c r="M39" s="75"/>
      <c r="N39" s="576"/>
      <c r="O39" s="75"/>
      <c r="P39" s="75"/>
    </row>
    <row r="40" spans="2:16" ht="14.25" x14ac:dyDescent="0.2">
      <c r="C40" s="75"/>
      <c r="D40" s="75"/>
      <c r="E40" s="75"/>
      <c r="F40" s="75"/>
      <c r="G40" s="75"/>
      <c r="H40" s="75"/>
      <c r="I40" s="75"/>
      <c r="J40" s="75"/>
      <c r="K40" s="75"/>
      <c r="L40" s="75"/>
      <c r="M40" s="75"/>
      <c r="N40" s="576"/>
      <c r="O40" s="75"/>
      <c r="P40" s="75"/>
    </row>
  </sheetData>
  <sheetProtection formatCells="0" formatColumns="0" formatRows="0" sort="0"/>
  <mergeCells count="9">
    <mergeCell ref="E11:L11"/>
    <mergeCell ref="G10:L10"/>
    <mergeCell ref="B1:P1"/>
    <mergeCell ref="H8:I8"/>
    <mergeCell ref="H9:I9"/>
    <mergeCell ref="J8:K8"/>
    <mergeCell ref="J9:K9"/>
    <mergeCell ref="B7:F7"/>
    <mergeCell ref="G7:L7"/>
  </mergeCells>
  <phoneticPr fontId="37" type="noConversion"/>
  <dataValidations count="1">
    <dataValidation type="list" allowBlank="1" showInputMessage="1" showErrorMessage="1" sqref="J5">
      <formula1>"Yes, No"</formula1>
    </dataValidation>
  </dataValidations>
  <printOptions horizontalCentered="1"/>
  <pageMargins left="0.74803149606299213" right="0.74803149606299213" top="0.59055118110236227" bottom="0.59055118110236227" header="0.51181102362204722" footer="0.51181102362204722"/>
  <pageSetup paperSize="9" scale="50" fitToHeight="0" orientation="landscape" cellComments="asDisplayed" r:id="rId1"/>
  <headerFooter alignWithMargins="0">
    <oddFooter>&amp;L&amp;9&amp;F&amp;C&amp;A&amp;R&amp;9Page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fitToPage="1"/>
  </sheetPr>
  <dimension ref="A1:N50"/>
  <sheetViews>
    <sheetView view="pageBreakPreview" topLeftCell="A25" zoomScaleNormal="80" zoomScaleSheetLayoutView="100" workbookViewId="0">
      <selection activeCell="F28" sqref="F28"/>
    </sheetView>
  </sheetViews>
  <sheetFormatPr defaultRowHeight="15" x14ac:dyDescent="0.25"/>
  <cols>
    <col min="1" max="1" width="29.7109375" style="579" customWidth="1"/>
    <col min="2" max="2" width="21.28515625" style="579" customWidth="1"/>
    <col min="3" max="3" width="22.7109375" style="579" customWidth="1"/>
    <col min="4" max="4" width="26.140625" style="579" customWidth="1"/>
    <col min="5" max="5" width="1" style="578" customWidth="1"/>
    <col min="6" max="6" width="50.85546875" style="578" customWidth="1"/>
    <col min="7" max="14" width="9.140625" style="578"/>
    <col min="15" max="16384" width="9.140625" style="579"/>
  </cols>
  <sheetData>
    <row r="1" spans="1:6" ht="15.75" x14ac:dyDescent="0.25">
      <c r="A1" s="577" t="s">
        <v>498</v>
      </c>
      <c r="B1" s="578"/>
      <c r="C1" s="578"/>
      <c r="D1" s="578"/>
    </row>
    <row r="2" spans="1:6" ht="5.25" customHeight="1" x14ac:dyDescent="0.25">
      <c r="A2" s="577"/>
      <c r="B2" s="578"/>
      <c r="C2" s="578"/>
      <c r="D2" s="578"/>
    </row>
    <row r="3" spans="1:6" x14ac:dyDescent="0.25">
      <c r="A3" s="580" t="s">
        <v>90</v>
      </c>
      <c r="B3" s="578"/>
      <c r="C3" s="578"/>
      <c r="D3" s="578"/>
    </row>
    <row r="4" spans="1:6" ht="9.75" customHeight="1" thickBot="1" x14ac:dyDescent="0.3">
      <c r="A4" s="578"/>
      <c r="B4" s="578"/>
      <c r="C4" s="578"/>
      <c r="D4" s="578"/>
    </row>
    <row r="5" spans="1:6" ht="35.25" customHeight="1" thickBot="1" x14ac:dyDescent="0.3">
      <c r="A5" s="581" t="s">
        <v>61</v>
      </c>
      <c r="B5" s="582" t="s">
        <v>62</v>
      </c>
      <c r="C5" s="581" t="s">
        <v>63</v>
      </c>
      <c r="D5" s="581" t="s">
        <v>569</v>
      </c>
    </row>
    <row r="6" spans="1:6" x14ac:dyDescent="0.25">
      <c r="A6" s="2169" t="s">
        <v>94</v>
      </c>
      <c r="B6" s="2170"/>
      <c r="C6" s="2170"/>
      <c r="D6" s="2171"/>
    </row>
    <row r="7" spans="1:6" x14ac:dyDescent="0.25">
      <c r="A7" s="583" t="s">
        <v>64</v>
      </c>
      <c r="B7" s="584" t="s">
        <v>65</v>
      </c>
      <c r="C7" s="585"/>
      <c r="D7" s="586"/>
    </row>
    <row r="8" spans="1:6" x14ac:dyDescent="0.25">
      <c r="A8" s="583" t="s">
        <v>66</v>
      </c>
      <c r="B8" s="584" t="s">
        <v>65</v>
      </c>
      <c r="C8" s="585"/>
      <c r="D8" s="586"/>
    </row>
    <row r="9" spans="1:6" ht="26.25" x14ac:dyDescent="0.25">
      <c r="A9" s="583" t="s">
        <v>67</v>
      </c>
      <c r="B9" s="584" t="s">
        <v>65</v>
      </c>
      <c r="C9" s="585"/>
      <c r="D9" s="586" t="s">
        <v>68</v>
      </c>
      <c r="F9" s="587"/>
    </row>
    <row r="10" spans="1:6" ht="26.25" x14ac:dyDescent="0.25">
      <c r="A10" s="583" t="s">
        <v>289</v>
      </c>
      <c r="B10" s="584" t="s">
        <v>65</v>
      </c>
      <c r="C10" s="585"/>
      <c r="D10" s="586" t="s">
        <v>69</v>
      </c>
    </row>
    <row r="11" spans="1:6" ht="39" x14ac:dyDescent="0.25">
      <c r="A11" s="583" t="s">
        <v>70</v>
      </c>
      <c r="B11" s="584" t="s">
        <v>65</v>
      </c>
      <c r="C11" s="585"/>
      <c r="D11" s="586" t="s">
        <v>69</v>
      </c>
    </row>
    <row r="12" spans="1:6" x14ac:dyDescent="0.25">
      <c r="A12" s="588"/>
      <c r="B12" s="584"/>
      <c r="C12" s="585"/>
      <c r="D12" s="589"/>
    </row>
    <row r="13" spans="1:6" x14ac:dyDescent="0.25">
      <c r="A13" s="2172" t="s">
        <v>71</v>
      </c>
      <c r="B13" s="2173"/>
      <c r="C13" s="2173"/>
      <c r="D13" s="2174"/>
    </row>
    <row r="14" spans="1:6" ht="39" x14ac:dyDescent="0.25">
      <c r="A14" s="583" t="s">
        <v>72</v>
      </c>
      <c r="B14" s="584" t="s">
        <v>65</v>
      </c>
      <c r="C14" s="585"/>
      <c r="D14" s="586"/>
    </row>
    <row r="15" spans="1:6" x14ac:dyDescent="0.25">
      <c r="A15" s="583" t="s">
        <v>73</v>
      </c>
      <c r="B15" s="584" t="s">
        <v>65</v>
      </c>
      <c r="C15" s="585"/>
      <c r="D15" s="586"/>
    </row>
    <row r="16" spans="1:6" x14ac:dyDescent="0.25">
      <c r="A16" s="583" t="s">
        <v>74</v>
      </c>
      <c r="B16" s="584" t="s">
        <v>65</v>
      </c>
      <c r="C16" s="585"/>
      <c r="D16" s="586"/>
    </row>
    <row r="17" spans="1:4" x14ac:dyDescent="0.25">
      <c r="A17" s="583" t="s">
        <v>75</v>
      </c>
      <c r="B17" s="584" t="s">
        <v>65</v>
      </c>
      <c r="C17" s="585"/>
      <c r="D17" s="586"/>
    </row>
    <row r="18" spans="1:4" x14ac:dyDescent="0.25">
      <c r="A18" s="583"/>
      <c r="B18" s="585"/>
      <c r="C18" s="585"/>
      <c r="D18" s="586"/>
    </row>
    <row r="19" spans="1:4" x14ac:dyDescent="0.25">
      <c r="A19" s="2172" t="s">
        <v>76</v>
      </c>
      <c r="B19" s="2173"/>
      <c r="C19" s="2173"/>
      <c r="D19" s="2174"/>
    </row>
    <row r="20" spans="1:4" ht="51.75" x14ac:dyDescent="0.25">
      <c r="A20" s="583" t="s">
        <v>77</v>
      </c>
      <c r="B20" s="584" t="s">
        <v>65</v>
      </c>
      <c r="C20" s="585"/>
      <c r="D20" s="586" t="s">
        <v>78</v>
      </c>
    </row>
    <row r="21" spans="1:4" ht="26.25" x14ac:dyDescent="0.25">
      <c r="A21" s="583" t="s">
        <v>79</v>
      </c>
      <c r="B21" s="584" t="s">
        <v>65</v>
      </c>
      <c r="C21" s="584" t="s">
        <v>65</v>
      </c>
      <c r="D21" s="910" t="s">
        <v>345</v>
      </c>
    </row>
    <row r="22" spans="1:4" x14ac:dyDescent="0.25">
      <c r="A22" s="583" t="s">
        <v>80</v>
      </c>
      <c r="B22" s="584" t="s">
        <v>65</v>
      </c>
      <c r="C22" s="585"/>
      <c r="D22" s="586"/>
    </row>
    <row r="23" spans="1:4" x14ac:dyDescent="0.25">
      <c r="A23" s="583" t="s">
        <v>81</v>
      </c>
      <c r="B23" s="584" t="s">
        <v>65</v>
      </c>
      <c r="C23" s="585"/>
      <c r="D23" s="586"/>
    </row>
    <row r="24" spans="1:4" x14ac:dyDescent="0.25">
      <c r="A24" s="583" t="s">
        <v>82</v>
      </c>
      <c r="B24" s="584" t="s">
        <v>65</v>
      </c>
      <c r="C24" s="585"/>
      <c r="D24" s="586"/>
    </row>
    <row r="25" spans="1:4" x14ac:dyDescent="0.25">
      <c r="A25" s="583" t="s">
        <v>83</v>
      </c>
      <c r="B25" s="584" t="s">
        <v>65</v>
      </c>
      <c r="C25" s="585"/>
      <c r="D25" s="586"/>
    </row>
    <row r="26" spans="1:4" x14ac:dyDescent="0.25">
      <c r="A26" s="583" t="s">
        <v>84</v>
      </c>
      <c r="B26" s="584" t="s">
        <v>65</v>
      </c>
      <c r="C26" s="585"/>
      <c r="D26" s="586"/>
    </row>
    <row r="27" spans="1:4" ht="39" x14ac:dyDescent="0.25">
      <c r="A27" s="583" t="s">
        <v>85</v>
      </c>
      <c r="B27" s="584" t="s">
        <v>65</v>
      </c>
      <c r="C27" s="584" t="s">
        <v>65</v>
      </c>
      <c r="D27" s="586"/>
    </row>
    <row r="28" spans="1:4" ht="39" x14ac:dyDescent="0.25">
      <c r="A28" s="583" t="s">
        <v>86</v>
      </c>
      <c r="B28" s="584" t="s">
        <v>65</v>
      </c>
      <c r="C28" s="584"/>
      <c r="D28" s="586"/>
    </row>
    <row r="29" spans="1:4" x14ac:dyDescent="0.25">
      <c r="A29" s="2172" t="s">
        <v>87</v>
      </c>
      <c r="B29" s="2173"/>
      <c r="C29" s="2173"/>
      <c r="D29" s="2174"/>
    </row>
    <row r="30" spans="1:4" ht="39" x14ac:dyDescent="0.25">
      <c r="A30" s="583" t="s">
        <v>88</v>
      </c>
      <c r="B30" s="590" t="s">
        <v>65</v>
      </c>
      <c r="C30" s="590"/>
      <c r="D30" s="591"/>
    </row>
    <row r="31" spans="1:4" x14ac:dyDescent="0.25">
      <c r="A31" s="583" t="s">
        <v>89</v>
      </c>
      <c r="B31" s="584" t="s">
        <v>65</v>
      </c>
      <c r="C31" s="590"/>
      <c r="D31" s="591"/>
    </row>
    <row r="32" spans="1:4" ht="15.75" thickBot="1" x14ac:dyDescent="0.3">
      <c r="A32" s="592"/>
      <c r="B32" s="593"/>
      <c r="C32" s="593"/>
      <c r="D32" s="594"/>
    </row>
    <row r="33" spans="1:4" ht="5.25" customHeight="1" x14ac:dyDescent="0.25">
      <c r="A33" s="595"/>
      <c r="B33" s="595"/>
      <c r="C33" s="595"/>
      <c r="D33" s="595"/>
    </row>
    <row r="34" spans="1:4" x14ac:dyDescent="0.25">
      <c r="A34" s="595"/>
      <c r="B34" s="595"/>
      <c r="C34" s="595"/>
      <c r="D34" s="595"/>
    </row>
    <row r="35" spans="1:4" x14ac:dyDescent="0.25">
      <c r="A35" s="595"/>
      <c r="B35" s="595"/>
      <c r="C35" s="595"/>
      <c r="D35" s="595"/>
    </row>
    <row r="36" spans="1:4" x14ac:dyDescent="0.25">
      <c r="A36" s="595"/>
      <c r="B36" s="595"/>
      <c r="C36" s="595"/>
      <c r="D36" s="595"/>
    </row>
    <row r="37" spans="1:4" x14ac:dyDescent="0.25">
      <c r="A37" s="595"/>
      <c r="B37" s="595"/>
      <c r="C37" s="595"/>
      <c r="D37" s="595"/>
    </row>
    <row r="38" spans="1:4" x14ac:dyDescent="0.25">
      <c r="A38" s="595"/>
      <c r="B38" s="595"/>
      <c r="C38" s="595"/>
      <c r="D38" s="595"/>
    </row>
    <row r="39" spans="1:4" x14ac:dyDescent="0.25">
      <c r="A39" s="595"/>
      <c r="B39" s="595"/>
      <c r="C39" s="595"/>
      <c r="D39" s="595"/>
    </row>
    <row r="40" spans="1:4" x14ac:dyDescent="0.25">
      <c r="A40" s="595"/>
      <c r="B40" s="595"/>
      <c r="C40" s="595"/>
      <c r="D40" s="595"/>
    </row>
    <row r="41" spans="1:4" x14ac:dyDescent="0.25">
      <c r="A41" s="595"/>
      <c r="B41" s="595"/>
      <c r="C41" s="595"/>
      <c r="D41" s="595"/>
    </row>
    <row r="42" spans="1:4" x14ac:dyDescent="0.25">
      <c r="A42" s="596"/>
      <c r="B42" s="596"/>
      <c r="C42" s="596"/>
      <c r="D42" s="596"/>
    </row>
    <row r="43" spans="1:4" x14ac:dyDescent="0.25">
      <c r="A43" s="596"/>
      <c r="B43" s="596"/>
      <c r="C43" s="596"/>
      <c r="D43" s="596"/>
    </row>
    <row r="44" spans="1:4" x14ac:dyDescent="0.25">
      <c r="A44" s="596"/>
      <c r="B44" s="596"/>
      <c r="C44" s="596"/>
      <c r="D44" s="596"/>
    </row>
    <row r="45" spans="1:4" x14ac:dyDescent="0.25">
      <c r="A45" s="596"/>
      <c r="B45" s="596"/>
      <c r="C45" s="596"/>
      <c r="D45" s="596"/>
    </row>
    <row r="46" spans="1:4" x14ac:dyDescent="0.25">
      <c r="A46" s="596"/>
      <c r="B46" s="596"/>
      <c r="C46" s="596"/>
      <c r="D46" s="596"/>
    </row>
    <row r="47" spans="1:4" x14ac:dyDescent="0.25">
      <c r="A47" s="596"/>
      <c r="B47" s="596"/>
      <c r="C47" s="596"/>
      <c r="D47" s="596"/>
    </row>
    <row r="48" spans="1:4" x14ac:dyDescent="0.25">
      <c r="A48" s="596"/>
      <c r="B48" s="596"/>
      <c r="C48" s="596"/>
      <c r="D48" s="596"/>
    </row>
    <row r="49" spans="1:4" x14ac:dyDescent="0.25">
      <c r="A49" s="596"/>
      <c r="B49" s="596"/>
      <c r="C49" s="596"/>
      <c r="D49" s="596"/>
    </row>
    <row r="50" spans="1:4" x14ac:dyDescent="0.25">
      <c r="A50" s="596"/>
      <c r="B50" s="596"/>
      <c r="C50" s="596"/>
      <c r="D50" s="596"/>
    </row>
  </sheetData>
  <sheetProtection password="92D1" sheet="1" selectLockedCells="1"/>
  <mergeCells count="4">
    <mergeCell ref="A6:D6"/>
    <mergeCell ref="A13:D13"/>
    <mergeCell ref="A19:D19"/>
    <mergeCell ref="A29:D29"/>
  </mergeCells>
  <phoneticPr fontId="37" type="noConversion"/>
  <printOptions horizontalCentered="1"/>
  <pageMargins left="0.74803149606299213" right="0.74803149606299213" top="0.59055118110236227" bottom="0.59055118110236227" header="0.51181102362204722" footer="0.51181102362204722"/>
  <pageSetup paperSize="9" scale="87" fitToHeight="0" orientation="portrait" cellComments="asDisplayed" r:id="rId1"/>
  <headerFooter alignWithMargins="0">
    <oddFooter>&amp;L&amp;9&amp;F&amp;C&amp;A&amp;R&amp;9Page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sheetPr>
  <dimension ref="A1:AF37"/>
  <sheetViews>
    <sheetView view="pageBreakPreview" topLeftCell="E1" zoomScale="70" zoomScaleNormal="40" zoomScaleSheetLayoutView="70" workbookViewId="0">
      <selection activeCell="N27" sqref="N27:R27"/>
    </sheetView>
  </sheetViews>
  <sheetFormatPr defaultRowHeight="12.75" x14ac:dyDescent="0.2"/>
  <cols>
    <col min="1" max="1" width="14.5703125" style="63" customWidth="1"/>
    <col min="2" max="2" width="45.42578125" style="63" customWidth="1"/>
    <col min="3" max="3" width="18.5703125" style="63" customWidth="1"/>
    <col min="4" max="4" width="17.28515625" style="63" customWidth="1"/>
    <col min="5" max="5" width="18.7109375" style="63" customWidth="1"/>
    <col min="6" max="6" width="16.85546875" style="63" customWidth="1"/>
    <col min="7" max="8" width="20.5703125" style="601" customWidth="1"/>
    <col min="9" max="9" width="20.42578125" style="63" customWidth="1"/>
    <col min="10" max="10" width="27" style="63" bestFit="1" customWidth="1"/>
    <col min="11" max="11" width="18.28515625" style="63" customWidth="1"/>
    <col min="12" max="12" width="19.140625" style="63" customWidth="1"/>
    <col min="13" max="13" width="17" style="63" customWidth="1"/>
    <col min="14" max="14" width="19" style="63" bestFit="1" customWidth="1"/>
    <col min="15" max="18" width="9.140625" style="63"/>
    <col min="19" max="19" width="1.5703125" style="63" customWidth="1"/>
    <col min="20" max="20" width="9.140625" style="63"/>
    <col min="21" max="21" width="17.140625" style="63" hidden="1" customWidth="1"/>
    <col min="22" max="32" width="9.140625" style="63" hidden="1" customWidth="1"/>
    <col min="33" max="16384" width="9.140625" style="63"/>
  </cols>
  <sheetData>
    <row r="1" spans="1:24" s="3" customFormat="1" ht="25.5" customHeight="1" x14ac:dyDescent="0.35">
      <c r="A1" s="2161" t="s">
        <v>629</v>
      </c>
      <c r="B1" s="2161"/>
      <c r="C1" s="2161"/>
      <c r="D1" s="2161"/>
      <c r="E1" s="2161"/>
      <c r="F1" s="2161"/>
      <c r="G1" s="2161"/>
      <c r="H1" s="2161"/>
      <c r="I1" s="2161"/>
      <c r="J1" s="2161"/>
      <c r="K1" s="2161"/>
      <c r="L1" s="69"/>
      <c r="M1" s="69"/>
      <c r="N1" s="72"/>
      <c r="O1" s="72"/>
      <c r="P1" s="72"/>
      <c r="Q1" s="72"/>
      <c r="R1" s="72"/>
      <c r="S1" s="72"/>
      <c r="T1" s="72"/>
      <c r="U1" s="72"/>
      <c r="V1" s="72"/>
      <c r="W1" s="72"/>
      <c r="X1" s="72"/>
    </row>
    <row r="2" spans="1:24" s="72" customFormat="1" ht="15" customHeight="1" thickBot="1" x14ac:dyDescent="0.4">
      <c r="A2" s="507"/>
      <c r="B2" s="507"/>
      <c r="C2" s="507"/>
      <c r="D2" s="507"/>
      <c r="E2" s="507"/>
      <c r="F2" s="507"/>
      <c r="G2" s="507"/>
      <c r="H2" s="507"/>
      <c r="I2" s="507"/>
      <c r="J2" s="507"/>
      <c r="K2" s="507"/>
      <c r="L2" s="69"/>
      <c r="M2" s="69"/>
    </row>
    <row r="3" spans="1:24" s="13" customFormat="1" ht="15" customHeight="1" thickBot="1" x14ac:dyDescent="0.25">
      <c r="A3" s="2194" t="s">
        <v>488</v>
      </c>
      <c r="B3" s="2195"/>
      <c r="C3" s="2196" t="s">
        <v>1077</v>
      </c>
      <c r="D3" s="2197"/>
      <c r="E3" s="2197"/>
      <c r="F3" s="2198"/>
      <c r="G3" s="82"/>
      <c r="H3" s="82"/>
      <c r="I3" s="63"/>
      <c r="J3" s="63"/>
      <c r="K3" s="63"/>
      <c r="L3" s="63"/>
      <c r="M3" s="84"/>
      <c r="N3" s="63"/>
      <c r="O3" s="63"/>
      <c r="P3" s="63"/>
      <c r="Q3" s="63"/>
      <c r="R3" s="63"/>
      <c r="S3" s="63"/>
      <c r="T3" s="63"/>
      <c r="U3" s="63"/>
      <c r="V3" s="63"/>
      <c r="W3" s="63"/>
      <c r="X3" s="63"/>
    </row>
    <row r="4" spans="1:24" s="13" customFormat="1" ht="27.75" customHeight="1" thickBot="1" x14ac:dyDescent="0.3">
      <c r="A4" s="99" t="s">
        <v>503</v>
      </c>
      <c r="B4" s="72"/>
      <c r="C4" s="72"/>
      <c r="D4" s="72"/>
      <c r="E4" s="72"/>
      <c r="F4" s="72"/>
      <c r="G4" s="72"/>
      <c r="H4" s="72"/>
      <c r="I4" s="72"/>
      <c r="J4" s="72"/>
      <c r="K4" s="72"/>
      <c r="L4" s="72"/>
      <c r="M4" s="72"/>
      <c r="N4" s="72"/>
      <c r="O4" s="72"/>
      <c r="P4" s="72"/>
      <c r="Q4" s="72"/>
      <c r="R4" s="72"/>
      <c r="S4" s="72"/>
      <c r="T4" s="72"/>
      <c r="U4" s="72"/>
      <c r="V4" s="72"/>
      <c r="W4" s="72"/>
      <c r="X4" s="72"/>
    </row>
    <row r="5" spans="1:24" s="13" customFormat="1" ht="15" customHeight="1" x14ac:dyDescent="0.2">
      <c r="A5" s="1742" t="s">
        <v>417</v>
      </c>
      <c r="B5" s="1743"/>
      <c r="C5" s="2199" t="str">
        <f>IF('PR_Programmatic Progress_1A'!C5:F5="","",'PR_Programmatic Progress_1A'!C5:F5)</f>
        <v>Bhutan</v>
      </c>
      <c r="D5" s="2200"/>
      <c r="E5" s="2200"/>
      <c r="F5" s="2201"/>
      <c r="G5" s="82"/>
      <c r="H5" s="170"/>
      <c r="I5" s="4"/>
      <c r="J5" s="63"/>
      <c r="K5" s="63"/>
      <c r="L5" s="63"/>
      <c r="M5" s="84"/>
      <c r="N5" s="63"/>
      <c r="O5" s="63"/>
      <c r="P5" s="63"/>
      <c r="Q5" s="63"/>
      <c r="R5" s="63"/>
      <c r="S5" s="63"/>
      <c r="T5" s="63"/>
      <c r="U5" s="63"/>
      <c r="V5" s="63"/>
      <c r="W5" s="63"/>
      <c r="X5" s="63"/>
    </row>
    <row r="6" spans="1:24" s="13" customFormat="1" ht="15" customHeight="1" x14ac:dyDescent="0.2">
      <c r="A6" s="1750" t="s">
        <v>418</v>
      </c>
      <c r="B6" s="1751"/>
      <c r="C6" s="2185" t="str">
        <f>IF('PR_Programmatic Progress_1A'!C6:F6="Select","",'PR_Programmatic Progress_1A'!C6:F6)</f>
        <v>HIV/AIDS</v>
      </c>
      <c r="D6" s="2186"/>
      <c r="E6" s="2186"/>
      <c r="F6" s="2187"/>
      <c r="G6" s="82"/>
      <c r="H6" s="82"/>
      <c r="I6" s="63"/>
      <c r="J6" s="63"/>
      <c r="K6" s="63"/>
      <c r="L6" s="63"/>
      <c r="M6" s="63"/>
      <c r="N6" s="63"/>
      <c r="O6" s="63"/>
      <c r="P6" s="63"/>
      <c r="Q6" s="63"/>
      <c r="R6" s="63"/>
      <c r="S6" s="63"/>
      <c r="T6" s="63"/>
      <c r="U6" s="63"/>
      <c r="V6" s="63"/>
      <c r="W6" s="63"/>
      <c r="X6" s="63"/>
    </row>
    <row r="7" spans="1:24" s="13" customFormat="1" ht="25.5" customHeight="1" x14ac:dyDescent="0.2">
      <c r="A7" s="1750" t="s">
        <v>615</v>
      </c>
      <c r="B7" s="1751"/>
      <c r="C7" s="2191" t="str">
        <f>IF('PR_Programmatic Progress_1A'!C7:F7="","",'PR_Programmatic Progress_1A'!C7:F7)</f>
        <v>BTN-607-G03-H</v>
      </c>
      <c r="D7" s="2192"/>
      <c r="E7" s="2192"/>
      <c r="F7" s="2193"/>
      <c r="G7" s="85"/>
      <c r="H7" s="85"/>
      <c r="I7" s="63"/>
      <c r="J7" s="63"/>
      <c r="K7" s="753"/>
      <c r="L7" s="63"/>
      <c r="M7" s="63"/>
      <c r="N7" s="63"/>
      <c r="O7" s="63"/>
      <c r="P7" s="63"/>
      <c r="Q7" s="63"/>
      <c r="R7" s="63"/>
      <c r="S7" s="63"/>
      <c r="T7" s="63"/>
      <c r="U7" s="63"/>
      <c r="V7" s="63"/>
      <c r="W7" s="63"/>
      <c r="X7" s="63"/>
    </row>
    <row r="8" spans="1:24" s="13" customFormat="1" ht="15" customHeight="1" x14ac:dyDescent="0.2">
      <c r="A8" s="1750" t="s">
        <v>588</v>
      </c>
      <c r="B8" s="1751"/>
      <c r="C8" s="2148" t="str">
        <f>IF('PR_Programmatic Progress_1A'!C8:F8="","",'PR_Programmatic Progress_1A'!C8:F8)</f>
        <v xml:space="preserve">Ministry of Health </v>
      </c>
      <c r="D8" s="2149"/>
      <c r="E8" s="2149"/>
      <c r="F8" s="2150"/>
      <c r="G8" s="82"/>
      <c r="H8" s="82"/>
      <c r="I8" s="63"/>
      <c r="J8" s="63"/>
      <c r="K8" s="63"/>
      <c r="L8" s="63"/>
      <c r="M8" s="63"/>
      <c r="N8" s="63"/>
      <c r="O8" s="63"/>
      <c r="P8" s="63"/>
      <c r="Q8" s="63"/>
      <c r="R8" s="63"/>
      <c r="S8" s="63"/>
      <c r="T8" s="63"/>
      <c r="U8" s="63"/>
      <c r="V8" s="63"/>
      <c r="W8" s="63"/>
      <c r="X8" s="63"/>
    </row>
    <row r="9" spans="1:24" s="13" customFormat="1" ht="15" customHeight="1" x14ac:dyDescent="0.2">
      <c r="A9" s="1750" t="s">
        <v>613</v>
      </c>
      <c r="B9" s="1751"/>
      <c r="C9" s="2180">
        <f>IF('PR_Programmatic Progress_1A'!C9:F9="","",'PR_Programmatic Progress_1A'!C9:F9)</f>
        <v>39479</v>
      </c>
      <c r="D9" s="2181"/>
      <c r="E9" s="2181"/>
      <c r="F9" s="2182"/>
      <c r="G9" s="62"/>
      <c r="H9" s="62"/>
      <c r="I9" s="63"/>
      <c r="J9" s="63"/>
      <c r="K9" s="63"/>
      <c r="L9" s="63"/>
      <c r="M9" s="63"/>
      <c r="N9" s="63"/>
      <c r="O9" s="63"/>
      <c r="P9" s="63"/>
      <c r="Q9" s="63"/>
      <c r="R9" s="63"/>
      <c r="S9" s="63"/>
      <c r="T9" s="63"/>
      <c r="U9" s="63"/>
      <c r="V9" s="63"/>
      <c r="W9" s="63"/>
      <c r="X9" s="63"/>
    </row>
    <row r="10" spans="1:24" s="13" customFormat="1" ht="15" customHeight="1" thickBot="1" x14ac:dyDescent="0.25">
      <c r="A10" s="1778" t="s">
        <v>589</v>
      </c>
      <c r="B10" s="1779"/>
      <c r="C10" s="1816" t="str">
        <f>IF('PR_Programmatic Progress_1A'!C10:F10="Select","",'PR_Programmatic Progress_1A'!C10:F10)</f>
        <v>USD</v>
      </c>
      <c r="D10" s="1817"/>
      <c r="E10" s="1817"/>
      <c r="F10" s="1818"/>
      <c r="G10" s="82"/>
      <c r="H10" s="82"/>
      <c r="I10" s="63"/>
      <c r="J10" s="63"/>
      <c r="K10" s="63"/>
      <c r="L10" s="63"/>
      <c r="M10" s="63"/>
      <c r="N10" s="63"/>
      <c r="O10" s="63"/>
      <c r="P10" s="63"/>
      <c r="Q10" s="63"/>
      <c r="R10" s="63"/>
      <c r="S10" s="63"/>
      <c r="T10" s="63"/>
      <c r="U10" s="63"/>
      <c r="V10" s="63"/>
      <c r="W10" s="63"/>
      <c r="X10" s="63"/>
    </row>
    <row r="11" spans="1:24" s="13" customFormat="1" ht="27" customHeight="1" thickBot="1" x14ac:dyDescent="0.3">
      <c r="A11" s="98" t="s">
        <v>504</v>
      </c>
      <c r="B11" s="72"/>
      <c r="C11" s="72"/>
      <c r="D11" s="72"/>
      <c r="E11" s="72"/>
      <c r="F11" s="72"/>
      <c r="G11" s="72"/>
      <c r="H11" s="72"/>
      <c r="I11" s="72"/>
      <c r="J11" s="72"/>
      <c r="K11" s="72"/>
      <c r="L11" s="72"/>
      <c r="M11" s="72"/>
      <c r="N11" s="72"/>
      <c r="O11" s="72"/>
      <c r="P11" s="72"/>
      <c r="Q11" s="72"/>
      <c r="R11" s="72"/>
      <c r="S11" s="72"/>
      <c r="T11" s="72"/>
      <c r="U11" s="72"/>
      <c r="V11" s="72"/>
      <c r="W11" s="72"/>
      <c r="X11" s="72"/>
    </row>
    <row r="12" spans="1:24" s="13" customFormat="1" ht="15" customHeight="1" x14ac:dyDescent="0.2">
      <c r="A12" s="493" t="s">
        <v>621</v>
      </c>
      <c r="B12" s="496"/>
      <c r="C12" s="53" t="s">
        <v>627</v>
      </c>
      <c r="D12" s="597" t="str">
        <f>IF('PR_Programmatic Progress_1A'!D12="Select","",'PR_Programmatic Progress_1A'!D12)</f>
        <v>Quarter</v>
      </c>
      <c r="E12" s="43" t="s">
        <v>628</v>
      </c>
      <c r="F12" s="96">
        <f>IF('PR_Programmatic Progress_1A'!F12="Select","",'PR_Programmatic Progress_1A'!F12)</f>
        <v>17</v>
      </c>
      <c r="G12" s="82"/>
      <c r="H12" s="82"/>
      <c r="I12" s="63"/>
      <c r="J12" s="63"/>
      <c r="K12" s="63"/>
      <c r="L12" s="63"/>
      <c r="M12" s="63"/>
      <c r="N12" s="63"/>
      <c r="O12" s="63"/>
      <c r="P12" s="63"/>
      <c r="Q12" s="63"/>
      <c r="R12" s="63"/>
      <c r="S12" s="63"/>
      <c r="T12" s="63"/>
      <c r="U12" s="63"/>
      <c r="V12" s="63"/>
      <c r="W12" s="63"/>
      <c r="X12" s="63"/>
    </row>
    <row r="13" spans="1:24" s="13" customFormat="1" ht="15" customHeight="1" x14ac:dyDescent="0.2">
      <c r="A13" s="513" t="s">
        <v>622</v>
      </c>
      <c r="B13" s="40"/>
      <c r="C13" s="54" t="s">
        <v>590</v>
      </c>
      <c r="D13" s="95">
        <f>IF('PR_Programmatic Progress_1A'!D13="","",'PR_Programmatic Progress_1A'!D13)</f>
        <v>40940</v>
      </c>
      <c r="E13" s="5" t="s">
        <v>608</v>
      </c>
      <c r="F13" s="97">
        <f>IF('PR_Programmatic Progress_1A'!F13="","",'PR_Programmatic Progress_1A'!F13)</f>
        <v>41029</v>
      </c>
      <c r="G13" s="62"/>
      <c r="H13" s="62"/>
      <c r="I13" s="63"/>
      <c r="J13" s="63"/>
      <c r="K13" s="63"/>
      <c r="L13" s="63"/>
      <c r="M13" s="63"/>
      <c r="N13" s="63"/>
      <c r="O13" s="63"/>
      <c r="P13" s="63"/>
      <c r="Q13" s="63"/>
      <c r="R13" s="63"/>
      <c r="S13" s="63"/>
      <c r="T13" s="63"/>
      <c r="U13" s="63"/>
      <c r="V13" s="63"/>
      <c r="W13" s="63"/>
      <c r="X13" s="63"/>
    </row>
    <row r="14" spans="1:24" s="13" customFormat="1" ht="15" customHeight="1" thickBot="1" x14ac:dyDescent="0.25">
      <c r="A14" s="55" t="s">
        <v>623</v>
      </c>
      <c r="B14" s="41"/>
      <c r="C14" s="1816">
        <f>IF('PR_Programmatic Progress_1A'!C14="Select","",'PR_Programmatic Progress_1A'!C14)</f>
        <v>17</v>
      </c>
      <c r="D14" s="1817"/>
      <c r="E14" s="1817"/>
      <c r="F14" s="1818"/>
      <c r="G14" s="82"/>
      <c r="H14" s="82"/>
      <c r="I14" s="63"/>
      <c r="J14" s="63"/>
      <c r="K14" s="63"/>
      <c r="L14" s="63"/>
      <c r="M14" s="63"/>
      <c r="N14" s="63"/>
      <c r="O14" s="63"/>
      <c r="P14" s="63"/>
      <c r="Q14" s="63"/>
      <c r="R14" s="63"/>
      <c r="S14" s="63"/>
      <c r="T14" s="63"/>
      <c r="U14" s="63"/>
      <c r="V14" s="63"/>
      <c r="W14" s="63"/>
      <c r="X14" s="63"/>
    </row>
    <row r="15" spans="1:24" s="13" customFormat="1" ht="27" customHeight="1" thickBot="1" x14ac:dyDescent="0.3">
      <c r="A15" s="98" t="s">
        <v>505</v>
      </c>
      <c r="B15" s="72"/>
      <c r="C15" s="72"/>
      <c r="D15" s="72"/>
      <c r="E15" s="72"/>
      <c r="F15" s="72"/>
      <c r="G15" s="72"/>
      <c r="H15" s="72"/>
      <c r="I15" s="72"/>
      <c r="J15" s="72"/>
      <c r="K15" s="72"/>
      <c r="L15" s="72"/>
      <c r="M15" s="72"/>
      <c r="N15" s="72"/>
      <c r="O15" s="72"/>
      <c r="P15" s="72"/>
      <c r="Q15" s="72"/>
      <c r="R15" s="72"/>
      <c r="S15" s="72"/>
      <c r="T15" s="72"/>
      <c r="U15" s="72"/>
      <c r="V15" s="72"/>
      <c r="W15" s="72"/>
      <c r="X15" s="72"/>
    </row>
    <row r="16" spans="1:24" s="13" customFormat="1" ht="15" customHeight="1" x14ac:dyDescent="0.2">
      <c r="A16" s="493" t="s">
        <v>626</v>
      </c>
      <c r="B16" s="496"/>
      <c r="C16" s="53" t="s">
        <v>627</v>
      </c>
      <c r="D16" s="597" t="str">
        <f>IF('PR_Programmatic Progress_1A'!D16="Select","",'PR_Programmatic Progress_1A'!D16)</f>
        <v>Semester</v>
      </c>
      <c r="E16" s="43" t="s">
        <v>628</v>
      </c>
      <c r="F16" s="96">
        <f>IF('PR_Programmatic Progress_1A'!F16="Select","",'PR_Programmatic Progress_1A'!F16)</f>
        <v>8</v>
      </c>
      <c r="G16" s="82"/>
      <c r="H16" s="82"/>
      <c r="I16" s="63"/>
      <c r="J16" s="63"/>
      <c r="K16" s="63"/>
      <c r="L16" s="63"/>
      <c r="M16" s="63"/>
      <c r="N16" s="63"/>
      <c r="O16" s="63"/>
      <c r="P16" s="63"/>
      <c r="Q16" s="63"/>
      <c r="R16" s="63"/>
      <c r="S16" s="63"/>
      <c r="T16" s="63"/>
      <c r="U16" s="63"/>
      <c r="V16" s="63"/>
      <c r="W16" s="63"/>
      <c r="X16" s="63"/>
    </row>
    <row r="17" spans="1:31" s="13" customFormat="1" ht="15" customHeight="1" x14ac:dyDescent="0.2">
      <c r="A17" s="513" t="s">
        <v>624</v>
      </c>
      <c r="B17" s="40"/>
      <c r="C17" s="54" t="s">
        <v>590</v>
      </c>
      <c r="D17" s="598">
        <f>IF('PR_Programmatic Progress_1A'!D17="","",'PR_Programmatic Progress_1A'!D17)</f>
        <v>41030</v>
      </c>
      <c r="E17" s="5" t="s">
        <v>608</v>
      </c>
      <c r="F17" s="97">
        <f>IF('PR_Programmatic Progress_1A'!F17="","",'PR_Programmatic Progress_1A'!F17)</f>
        <v>41213</v>
      </c>
      <c r="G17" s="62"/>
      <c r="H17" s="62"/>
      <c r="I17" s="63"/>
      <c r="J17" s="63"/>
      <c r="K17" s="63"/>
      <c r="L17" s="63"/>
      <c r="M17" s="63"/>
      <c r="N17" s="63"/>
      <c r="O17" s="63"/>
      <c r="P17" s="63"/>
      <c r="Q17" s="63"/>
      <c r="R17" s="63"/>
      <c r="S17" s="63"/>
      <c r="T17" s="63"/>
      <c r="U17" s="63"/>
      <c r="V17" s="63"/>
      <c r="W17" s="63"/>
      <c r="X17" s="63"/>
    </row>
    <row r="18" spans="1:31" s="13" customFormat="1" ht="15" customHeight="1" thickBot="1" x14ac:dyDescent="0.25">
      <c r="A18" s="55" t="s">
        <v>625</v>
      </c>
      <c r="B18" s="41"/>
      <c r="C18" s="1816">
        <f>IF('PR_Programmatic Progress_1A'!C18:F18="Select","",'PR_Programmatic Progress_1A'!C18:F18)</f>
        <v>8</v>
      </c>
      <c r="D18" s="1817"/>
      <c r="E18" s="1817"/>
      <c r="F18" s="1818"/>
      <c r="G18" s="82"/>
      <c r="H18" s="82"/>
      <c r="I18" s="63"/>
      <c r="J18" s="63"/>
      <c r="K18" s="63"/>
      <c r="L18" s="63"/>
      <c r="M18" s="63"/>
      <c r="N18" s="63"/>
      <c r="O18" s="63"/>
      <c r="P18" s="63"/>
      <c r="Q18" s="63"/>
      <c r="R18" s="63"/>
      <c r="S18" s="63"/>
      <c r="T18" s="63"/>
      <c r="U18" s="63"/>
      <c r="V18" s="63"/>
      <c r="W18" s="63"/>
      <c r="X18" s="63"/>
    </row>
    <row r="19" spans="1:31" s="3" customFormat="1" ht="15" customHeight="1" x14ac:dyDescent="0.2">
      <c r="A19" s="72"/>
      <c r="B19" s="72"/>
      <c r="C19" s="72"/>
      <c r="D19" s="72"/>
      <c r="E19" s="72"/>
      <c r="F19" s="72"/>
      <c r="G19" s="72"/>
      <c r="H19" s="72"/>
      <c r="I19" s="72"/>
      <c r="J19" s="72"/>
      <c r="K19" s="72"/>
      <c r="L19" s="72"/>
      <c r="M19" s="72"/>
      <c r="N19" s="72"/>
      <c r="O19" s="72"/>
      <c r="P19" s="72"/>
      <c r="Q19" s="72"/>
      <c r="R19" s="72"/>
      <c r="S19" s="72"/>
      <c r="T19" s="72"/>
      <c r="U19" s="72"/>
      <c r="V19" s="72"/>
      <c r="W19" s="72"/>
      <c r="X19" s="72"/>
    </row>
    <row r="20" spans="1:31" s="13" customFormat="1" ht="12.75" customHeight="1" x14ac:dyDescent="0.2">
      <c r="A20" s="2189" t="s">
        <v>486</v>
      </c>
      <c r="B20" s="2189"/>
      <c r="C20" s="2189"/>
      <c r="D20" s="2189"/>
      <c r="E20" s="2189"/>
      <c r="F20" s="2189"/>
      <c r="G20" s="2189"/>
      <c r="H20" s="2189"/>
      <c r="I20" s="2189"/>
      <c r="J20" s="2189"/>
      <c r="K20" s="2189"/>
      <c r="L20" s="2189"/>
      <c r="M20" s="2189"/>
      <c r="N20" s="63"/>
      <c r="O20" s="63"/>
      <c r="P20" s="63"/>
      <c r="Q20" s="63"/>
      <c r="R20" s="63"/>
      <c r="S20" s="63"/>
      <c r="T20" s="63"/>
      <c r="U20" s="63"/>
      <c r="V20" s="63"/>
      <c r="W20" s="63"/>
      <c r="X20" s="63"/>
    </row>
    <row r="21" spans="1:31" s="13" customFormat="1" ht="15" x14ac:dyDescent="0.2">
      <c r="A21" s="64"/>
      <c r="B21" s="64"/>
      <c r="C21" s="64"/>
      <c r="D21" s="64"/>
      <c r="E21" s="64"/>
      <c r="F21" s="64"/>
      <c r="G21" s="65"/>
      <c r="H21" s="65"/>
      <c r="I21" s="64"/>
      <c r="J21" s="14"/>
      <c r="K21" s="14"/>
      <c r="L21" s="63"/>
      <c r="M21" s="63"/>
      <c r="N21" s="63"/>
      <c r="O21" s="63"/>
      <c r="P21" s="63"/>
      <c r="Q21" s="63"/>
      <c r="R21" s="63"/>
      <c r="S21" s="63"/>
      <c r="T21" s="63"/>
      <c r="U21" s="63"/>
      <c r="V21" s="63"/>
      <c r="W21" s="63"/>
      <c r="X21" s="63"/>
    </row>
    <row r="22" spans="1:31" s="13" customFormat="1" ht="28.5" customHeight="1" x14ac:dyDescent="0.2">
      <c r="A22" s="66" t="s">
        <v>163</v>
      </c>
      <c r="B22" s="66"/>
      <c r="C22" s="64"/>
      <c r="D22" s="64"/>
      <c r="E22" s="64"/>
      <c r="F22" s="64"/>
      <c r="G22" s="65"/>
      <c r="H22" s="65"/>
      <c r="I22" s="64"/>
      <c r="J22" s="14"/>
      <c r="K22" s="14"/>
      <c r="L22" s="63"/>
      <c r="M22" s="63"/>
      <c r="N22" s="63"/>
      <c r="O22" s="63"/>
      <c r="P22" s="63"/>
      <c r="Q22" s="63"/>
      <c r="R22" s="63"/>
      <c r="S22" s="63"/>
      <c r="T22" s="63"/>
      <c r="U22" s="63"/>
      <c r="V22" s="63"/>
      <c r="W22" s="63"/>
      <c r="X22" s="63"/>
    </row>
    <row r="23" spans="1:31" s="13" customFormat="1" ht="31.5" customHeight="1" thickBot="1" x14ac:dyDescent="0.25">
      <c r="A23" s="599" t="s">
        <v>411</v>
      </c>
      <c r="B23" s="600"/>
      <c r="C23" s="63"/>
      <c r="D23" s="63"/>
      <c r="E23" s="63"/>
      <c r="F23" s="63"/>
      <c r="G23" s="601"/>
      <c r="H23" s="601"/>
      <c r="I23" s="63"/>
      <c r="J23" s="63"/>
      <c r="K23" s="63"/>
      <c r="L23" s="63"/>
      <c r="M23" s="63"/>
      <c r="N23" s="63"/>
      <c r="O23" s="63"/>
      <c r="P23" s="63"/>
      <c r="Q23" s="63"/>
      <c r="R23" s="63"/>
      <c r="S23" s="63"/>
      <c r="T23" s="63"/>
      <c r="U23" s="63"/>
      <c r="V23" s="63"/>
      <c r="W23" s="63"/>
      <c r="X23" s="63"/>
    </row>
    <row r="24" spans="1:31" s="13" customFormat="1" ht="15.75" x14ac:dyDescent="0.2">
      <c r="A24" s="887" t="s">
        <v>377</v>
      </c>
      <c r="B24" s="56"/>
      <c r="C24" s="56"/>
      <c r="D24" s="56"/>
      <c r="E24" s="56"/>
      <c r="F24" s="56"/>
      <c r="G24" s="56"/>
      <c r="H24" s="56"/>
      <c r="I24" s="56"/>
      <c r="J24" s="56"/>
      <c r="K24" s="56"/>
      <c r="L24" s="56"/>
      <c r="M24" s="56"/>
      <c r="N24" s="1786"/>
      <c r="O24" s="1786"/>
      <c r="P24" s="602"/>
      <c r="Q24" s="603"/>
      <c r="R24" s="604"/>
      <c r="S24" s="63"/>
      <c r="T24" s="63"/>
      <c r="U24" s="887" t="s">
        <v>377</v>
      </c>
      <c r="V24" s="56"/>
      <c r="W24" s="56"/>
      <c r="X24" s="56"/>
      <c r="Y24" s="56"/>
      <c r="Z24" s="56"/>
      <c r="AA24" s="56"/>
      <c r="AB24" s="56"/>
      <c r="AC24" s="56"/>
      <c r="AD24" s="56"/>
      <c r="AE24" s="1074"/>
    </row>
    <row r="25" spans="1:31" s="13" customFormat="1" ht="12.75" customHeight="1" x14ac:dyDescent="0.2">
      <c r="A25" s="1784" t="s">
        <v>630</v>
      </c>
      <c r="B25" s="1762" t="s">
        <v>593</v>
      </c>
      <c r="C25" s="2177"/>
      <c r="D25" s="2177"/>
      <c r="E25" s="2177"/>
      <c r="F25" s="1768" t="s">
        <v>154</v>
      </c>
      <c r="G25" s="1768" t="s">
        <v>159</v>
      </c>
      <c r="H25" s="1768" t="s">
        <v>575</v>
      </c>
      <c r="I25" s="1768" t="s">
        <v>160</v>
      </c>
      <c r="J25" s="1813" t="s">
        <v>134</v>
      </c>
      <c r="K25" s="2190"/>
      <c r="L25" s="1768" t="s">
        <v>487</v>
      </c>
      <c r="M25" s="1768" t="s">
        <v>375</v>
      </c>
      <c r="N25" s="1762" t="s">
        <v>420</v>
      </c>
      <c r="O25" s="1811"/>
      <c r="P25" s="1811"/>
      <c r="Q25" s="1811"/>
      <c r="R25" s="1821"/>
      <c r="S25" s="63"/>
      <c r="T25" s="63"/>
      <c r="U25" s="1784" t="s">
        <v>630</v>
      </c>
      <c r="V25" s="2218" t="s">
        <v>593</v>
      </c>
      <c r="W25" s="2219"/>
      <c r="X25" s="2219"/>
      <c r="Y25" s="2219"/>
      <c r="Z25" s="2220" t="s">
        <v>154</v>
      </c>
      <c r="AA25" s="2218" t="s">
        <v>159</v>
      </c>
      <c r="AB25" s="2220" t="s">
        <v>575</v>
      </c>
      <c r="AC25" s="2221" t="s">
        <v>160</v>
      </c>
      <c r="AD25" s="2216" t="s">
        <v>134</v>
      </c>
      <c r="AE25" s="2217"/>
    </row>
    <row r="26" spans="1:31" s="13" customFormat="1" ht="91.5" customHeight="1" x14ac:dyDescent="0.2">
      <c r="A26" s="2188"/>
      <c r="B26" s="2178"/>
      <c r="C26" s="2179"/>
      <c r="D26" s="2179"/>
      <c r="E26" s="2179"/>
      <c r="F26" s="1820"/>
      <c r="G26" s="1820"/>
      <c r="H26" s="1820"/>
      <c r="I26" s="1820"/>
      <c r="J26" s="1813"/>
      <c r="K26" s="2190"/>
      <c r="L26" s="1820"/>
      <c r="M26" s="1820"/>
      <c r="N26" s="1822"/>
      <c r="O26" s="1812"/>
      <c r="P26" s="1812"/>
      <c r="Q26" s="1812"/>
      <c r="R26" s="1823"/>
      <c r="S26" s="63"/>
      <c r="T26" s="63"/>
      <c r="U26" s="2188"/>
      <c r="V26" s="2219"/>
      <c r="W26" s="2219"/>
      <c r="X26" s="2219"/>
      <c r="Y26" s="2219"/>
      <c r="Z26" s="2220"/>
      <c r="AA26" s="2218"/>
      <c r="AB26" s="2220"/>
      <c r="AC26" s="1820"/>
      <c r="AD26" s="2216"/>
      <c r="AE26" s="2217"/>
    </row>
    <row r="27" spans="1:31" s="13" customFormat="1" ht="283.5" customHeight="1" x14ac:dyDescent="0.2">
      <c r="A27" s="832" t="str">
        <f>U27</f>
        <v>Impact</v>
      </c>
      <c r="B27" s="2202" t="str">
        <f>V27</f>
        <v>Percentage of Men  &amp; Women aged 15-49 who are HIV infected</v>
      </c>
      <c r="C27" s="2203"/>
      <c r="D27" s="2203"/>
      <c r="E27" s="2204"/>
      <c r="F27" s="1143">
        <f>Z27</f>
        <v>2011</v>
      </c>
      <c r="G27" s="1114" t="str">
        <f>AA27</f>
        <v>&lt;0.1%</v>
      </c>
      <c r="H27" s="1075" t="str">
        <f>AB27</f>
        <v>-</v>
      </c>
      <c r="I27" s="1114" t="str">
        <f>AC27</f>
        <v>-</v>
      </c>
      <c r="J27" s="2183" t="str">
        <f>AD27</f>
        <v>BSS (Behavioral and Surveillance Survey)</v>
      </c>
      <c r="K27" s="2184"/>
      <c r="L27" s="1072" t="s">
        <v>756</v>
      </c>
      <c r="M27" s="1056" t="s">
        <v>757</v>
      </c>
      <c r="N27" s="1798" t="s">
        <v>754</v>
      </c>
      <c r="O27" s="2175"/>
      <c r="P27" s="2175"/>
      <c r="Q27" s="2175"/>
      <c r="R27" s="2176"/>
      <c r="S27" s="63"/>
      <c r="T27" s="63"/>
      <c r="U27" s="832" t="str">
        <f>IF('PR_Programmatic Progress_1A'!A27="Select","",'PR_Programmatic Progress_1A'!A27)</f>
        <v>Impact</v>
      </c>
      <c r="V27" s="2215" t="str">
        <f>IF('PR_Programmatic Progress_1A'!B27="","",'PR_Programmatic Progress_1A'!B27)</f>
        <v>Percentage of Men  &amp; Women aged 15-49 who are HIV infected</v>
      </c>
      <c r="W27" s="2215"/>
      <c r="X27" s="2215"/>
      <c r="Y27" s="2215"/>
      <c r="Z27" s="834">
        <f>IF('PR_Programmatic Progress_1A'!I27="","",'PR_Programmatic Progress_1A'!I27)</f>
        <v>2011</v>
      </c>
      <c r="AA27" s="1056" t="str">
        <f>IF('PR_Programmatic Progress_1A'!J27="","",'PR_Programmatic Progress_1A'!J27)</f>
        <v>&lt;0.1%</v>
      </c>
      <c r="AB27" s="1056" t="str">
        <f>IF('PR_Programmatic Progress_1A'!K27="","",'PR_Programmatic Progress_1A'!K27)</f>
        <v>-</v>
      </c>
      <c r="AC27" s="895" t="str">
        <f>IF('PR_Programmatic Progress_1A'!L27="","",'PR_Programmatic Progress_1A'!L27)</f>
        <v>-</v>
      </c>
      <c r="AD27" s="2213" t="str">
        <f>'PR_Programmatic Progress_1A'!M27</f>
        <v>BSS (Behavioral and Surveillance Survey)</v>
      </c>
      <c r="AE27" s="2214"/>
    </row>
    <row r="28" spans="1:31" s="13" customFormat="1" ht="317.25" customHeight="1" x14ac:dyDescent="0.2">
      <c r="A28" s="832" t="str">
        <f t="shared" ref="A28:A36" si="0">U28</f>
        <v>Impact</v>
      </c>
      <c r="B28" s="2202" t="str">
        <f t="shared" ref="B28:B36" si="1">V28</f>
        <v>Percentage of uniformed personnel who are  HIV infected</v>
      </c>
      <c r="C28" s="2203"/>
      <c r="D28" s="2203"/>
      <c r="E28" s="2204"/>
      <c r="F28" s="1143">
        <f t="shared" ref="F28:F36" si="2">Z28</f>
        <v>2011</v>
      </c>
      <c r="G28" s="1114" t="str">
        <f t="shared" ref="G28:I36" si="3">AA28</f>
        <v>&lt;0.1%</v>
      </c>
      <c r="H28" s="1075" t="str">
        <f t="shared" si="3"/>
        <v>-</v>
      </c>
      <c r="I28" s="1114" t="str">
        <f t="shared" si="3"/>
        <v>-</v>
      </c>
      <c r="J28" s="2183" t="str">
        <f t="shared" ref="J28:J36" si="4">AD28</f>
        <v>BSS (Behavioral and Surveillance Survey)</v>
      </c>
      <c r="K28" s="2184"/>
      <c r="L28" s="1072" t="s">
        <v>756</v>
      </c>
      <c r="M28" s="1056" t="s">
        <v>757</v>
      </c>
      <c r="N28" s="1798" t="s">
        <v>755</v>
      </c>
      <c r="O28" s="2175"/>
      <c r="P28" s="2175"/>
      <c r="Q28" s="2175"/>
      <c r="R28" s="2176"/>
      <c r="S28" s="63"/>
      <c r="T28" s="63"/>
      <c r="U28" s="832" t="str">
        <f>IF('PR_Programmatic Progress_1A'!A28="Select","",'PR_Programmatic Progress_1A'!A28)</f>
        <v>Impact</v>
      </c>
      <c r="V28" s="2215" t="str">
        <f>IF('PR_Programmatic Progress_1A'!B28="","",'PR_Programmatic Progress_1A'!B28)</f>
        <v>Percentage of uniformed personnel who are  HIV infected</v>
      </c>
      <c r="W28" s="2215"/>
      <c r="X28" s="2215"/>
      <c r="Y28" s="2215"/>
      <c r="Z28" s="834">
        <f>IF('PR_Programmatic Progress_1A'!I28="","",'PR_Programmatic Progress_1A'!I28)</f>
        <v>2011</v>
      </c>
      <c r="AA28" s="1056" t="str">
        <f>IF('PR_Programmatic Progress_1A'!J28="","",'PR_Programmatic Progress_1A'!J28)</f>
        <v>&lt;0.1%</v>
      </c>
      <c r="AB28" s="1056" t="str">
        <f>IF('PR_Programmatic Progress_1A'!K28="","",'PR_Programmatic Progress_1A'!K28)</f>
        <v>-</v>
      </c>
      <c r="AC28" s="895" t="str">
        <f>IF('PR_Programmatic Progress_1A'!L28="","",'PR_Programmatic Progress_1A'!L28)</f>
        <v>-</v>
      </c>
      <c r="AD28" s="2213" t="str">
        <f>'PR_Programmatic Progress_1A'!M28</f>
        <v>BSS (Behavioral and Surveillance Survey)</v>
      </c>
      <c r="AE28" s="2214"/>
    </row>
    <row r="29" spans="1:31" s="13" customFormat="1" ht="95.25" customHeight="1" x14ac:dyDescent="0.2">
      <c r="A29" s="832" t="str">
        <f t="shared" si="0"/>
        <v>Outcome</v>
      </c>
      <c r="B29" s="2202" t="str">
        <f t="shared" si="1"/>
        <v>Percentage of out of school youths aged 15-24 reporting the consistent use of condoms  with non regular sexual partners in last year</v>
      </c>
      <c r="C29" s="2203"/>
      <c r="D29" s="2203"/>
      <c r="E29" s="2204"/>
      <c r="F29" s="1143">
        <f t="shared" si="2"/>
        <v>2011</v>
      </c>
      <c r="G29" s="1114" t="str">
        <f t="shared" si="3"/>
        <v>N/A</v>
      </c>
      <c r="H29" s="1075" t="str">
        <f t="shared" si="3"/>
        <v>Q2 of 2012</v>
      </c>
      <c r="I29" s="1114" t="str">
        <f t="shared" si="3"/>
        <v>N/A</v>
      </c>
      <c r="J29" s="2183" t="str">
        <f t="shared" si="4"/>
        <v>AIS (AIDS Indicator Survey)</v>
      </c>
      <c r="K29" s="2184"/>
      <c r="L29" s="1072" t="s">
        <v>756</v>
      </c>
      <c r="M29" s="1056" t="s">
        <v>758</v>
      </c>
      <c r="N29" s="1798" t="s">
        <v>752</v>
      </c>
      <c r="O29" s="2175"/>
      <c r="P29" s="2175"/>
      <c r="Q29" s="2175"/>
      <c r="R29" s="2176"/>
      <c r="S29" s="63"/>
      <c r="T29" s="63"/>
      <c r="U29" s="832" t="str">
        <f>IF('PR_Programmatic Progress_1A'!A29="Select","",'PR_Programmatic Progress_1A'!A29)</f>
        <v>Outcome</v>
      </c>
      <c r="V29" s="2215" t="str">
        <f>IF('PR_Programmatic Progress_1A'!B29="","",'PR_Programmatic Progress_1A'!B29)</f>
        <v>Percentage of out of school youths aged 15-24 reporting the consistent use of condoms  with non regular sexual partners in last year</v>
      </c>
      <c r="W29" s="2215"/>
      <c r="X29" s="2215"/>
      <c r="Y29" s="2215"/>
      <c r="Z29" s="834">
        <f>IF('PR_Programmatic Progress_1A'!I29="","",'PR_Programmatic Progress_1A'!I29)</f>
        <v>2011</v>
      </c>
      <c r="AA29" s="1056" t="str">
        <f>IF('PR_Programmatic Progress_1A'!J29="","",'PR_Programmatic Progress_1A'!J29)</f>
        <v>N/A</v>
      </c>
      <c r="AB29" s="1056" t="str">
        <f>IF('PR_Programmatic Progress_1A'!K29="","",'PR_Programmatic Progress_1A'!K29)</f>
        <v>Q2 of 2012</v>
      </c>
      <c r="AC29" s="895" t="str">
        <f>IF('PR_Programmatic Progress_1A'!L29="","",'PR_Programmatic Progress_1A'!L29)</f>
        <v>N/A</v>
      </c>
      <c r="AD29" s="2213" t="str">
        <f>'PR_Programmatic Progress_1A'!M29</f>
        <v>AIS (AIDS Indicator Survey)</v>
      </c>
      <c r="AE29" s="2214"/>
    </row>
    <row r="30" spans="1:31" s="13" customFormat="1" ht="105" customHeight="1" x14ac:dyDescent="0.2">
      <c r="A30" s="832" t="str">
        <f t="shared" si="0"/>
        <v>Outcome</v>
      </c>
      <c r="B30" s="2202" t="str">
        <f t="shared" si="1"/>
        <v xml:space="preserve">Percentage of uniformed personnel reporting the consistent use of condoms with non regular sexual partners in the last year </v>
      </c>
      <c r="C30" s="2203"/>
      <c r="D30" s="2203"/>
      <c r="E30" s="2204"/>
      <c r="F30" s="1143">
        <f t="shared" si="2"/>
        <v>2011</v>
      </c>
      <c r="G30" s="1114" t="str">
        <f t="shared" si="3"/>
        <v>NA</v>
      </c>
      <c r="H30" s="1075" t="str">
        <f t="shared" si="3"/>
        <v>Q2 of 2012</v>
      </c>
      <c r="I30" s="1114" t="str">
        <f t="shared" si="3"/>
        <v>N/A</v>
      </c>
      <c r="J30" s="2183" t="str">
        <f t="shared" si="4"/>
        <v>AIS (AIDS Indicator Survey)</v>
      </c>
      <c r="K30" s="2184"/>
      <c r="L30" s="1072" t="s">
        <v>756</v>
      </c>
      <c r="M30" s="1056" t="s">
        <v>758</v>
      </c>
      <c r="N30" s="1798" t="s">
        <v>753</v>
      </c>
      <c r="O30" s="2175"/>
      <c r="P30" s="2175"/>
      <c r="Q30" s="2175"/>
      <c r="R30" s="2176"/>
      <c r="S30" s="63"/>
      <c r="T30" s="63"/>
      <c r="U30" s="832" t="str">
        <f>IF('PR_Programmatic Progress_1A'!A30="Select","",'PR_Programmatic Progress_1A'!A30)</f>
        <v>Outcome</v>
      </c>
      <c r="V30" s="2215" t="str">
        <f>IF('PR_Programmatic Progress_1A'!B30="","",'PR_Programmatic Progress_1A'!B30)</f>
        <v xml:space="preserve">Percentage of uniformed personnel reporting the consistent use of condoms with non regular sexual partners in the last year </v>
      </c>
      <c r="W30" s="2215"/>
      <c r="X30" s="2215"/>
      <c r="Y30" s="2215"/>
      <c r="Z30" s="834">
        <f>IF('PR_Programmatic Progress_1A'!I30="","",'PR_Programmatic Progress_1A'!I30)</f>
        <v>2011</v>
      </c>
      <c r="AA30" s="1056" t="str">
        <f>IF('PR_Programmatic Progress_1A'!J30="","",'PR_Programmatic Progress_1A'!J30)</f>
        <v>NA</v>
      </c>
      <c r="AB30" s="1056" t="str">
        <f>IF('PR_Programmatic Progress_1A'!K30="","",'PR_Programmatic Progress_1A'!K30)</f>
        <v>Q2 of 2012</v>
      </c>
      <c r="AC30" s="895" t="str">
        <f>IF('PR_Programmatic Progress_1A'!L30="","",'PR_Programmatic Progress_1A'!L30)</f>
        <v>N/A</v>
      </c>
      <c r="AD30" s="2213" t="str">
        <f>'PR_Programmatic Progress_1A'!M30</f>
        <v>AIS (AIDS Indicator Survey)</v>
      </c>
      <c r="AE30" s="2214"/>
    </row>
    <row r="31" spans="1:31" s="13" customFormat="1" ht="44.25" customHeight="1" x14ac:dyDescent="0.2">
      <c r="A31" s="832" t="str">
        <f t="shared" si="0"/>
        <v/>
      </c>
      <c r="B31" s="2202" t="str">
        <f t="shared" si="1"/>
        <v/>
      </c>
      <c r="C31" s="2203"/>
      <c r="D31" s="2203"/>
      <c r="E31" s="2204"/>
      <c r="F31" s="1143" t="str">
        <f t="shared" si="2"/>
        <v>-</v>
      </c>
      <c r="G31" s="1114" t="str">
        <f t="shared" si="3"/>
        <v>-</v>
      </c>
      <c r="H31" s="1075" t="str">
        <f t="shared" si="3"/>
        <v>-</v>
      </c>
      <c r="I31" s="1114" t="str">
        <f t="shared" si="3"/>
        <v>-</v>
      </c>
      <c r="J31" s="2183" t="str">
        <f t="shared" si="4"/>
        <v>Select</v>
      </c>
      <c r="K31" s="2184"/>
      <c r="L31" s="1072"/>
      <c r="M31" s="1056"/>
      <c r="N31" s="1798"/>
      <c r="O31" s="2175"/>
      <c r="P31" s="2175"/>
      <c r="Q31" s="2175"/>
      <c r="R31" s="2176"/>
      <c r="S31" s="63"/>
      <c r="T31" s="63"/>
      <c r="U31" s="832" t="str">
        <f>IF('PR_Programmatic Progress_1A'!A31="Select","",'PR_Programmatic Progress_1A'!A31)</f>
        <v/>
      </c>
      <c r="V31" s="2215" t="str">
        <f>IF('PR_Programmatic Progress_1A'!B31="","",'PR_Programmatic Progress_1A'!B31)</f>
        <v/>
      </c>
      <c r="W31" s="2215"/>
      <c r="X31" s="2215"/>
      <c r="Y31" s="2215"/>
      <c r="Z31" s="834" t="str">
        <f>IF('PR_Programmatic Progress_1A'!I31="","",'PR_Programmatic Progress_1A'!I31)</f>
        <v>-</v>
      </c>
      <c r="AA31" s="1056" t="str">
        <f>IF('PR_Programmatic Progress_1A'!J31="","",'PR_Programmatic Progress_1A'!J31)</f>
        <v>-</v>
      </c>
      <c r="AB31" s="1056" t="str">
        <f>IF('PR_Programmatic Progress_1A'!K31="","",'PR_Programmatic Progress_1A'!K31)</f>
        <v>-</v>
      </c>
      <c r="AC31" s="895" t="str">
        <f>IF('PR_Programmatic Progress_1A'!L31="","",'PR_Programmatic Progress_1A'!L31)</f>
        <v>-</v>
      </c>
      <c r="AD31" s="2213" t="str">
        <f>'PR_Programmatic Progress_1A'!M31</f>
        <v>Select</v>
      </c>
      <c r="AE31" s="2214"/>
    </row>
    <row r="32" spans="1:31" s="13" customFormat="1" ht="44.25" customHeight="1" x14ac:dyDescent="0.2">
      <c r="A32" s="832" t="str">
        <f t="shared" si="0"/>
        <v/>
      </c>
      <c r="B32" s="2202" t="str">
        <f t="shared" si="1"/>
        <v/>
      </c>
      <c r="C32" s="2203"/>
      <c r="D32" s="2203"/>
      <c r="E32" s="2204"/>
      <c r="F32" s="1143" t="str">
        <f t="shared" si="2"/>
        <v>-</v>
      </c>
      <c r="G32" s="1114" t="str">
        <f t="shared" si="3"/>
        <v>-</v>
      </c>
      <c r="H32" s="1075" t="str">
        <f t="shared" si="3"/>
        <v>-</v>
      </c>
      <c r="I32" s="1114" t="str">
        <f t="shared" si="3"/>
        <v>-</v>
      </c>
      <c r="J32" s="2183" t="str">
        <f t="shared" si="4"/>
        <v>Select</v>
      </c>
      <c r="K32" s="2184"/>
      <c r="L32" s="1072"/>
      <c r="M32" s="1056"/>
      <c r="N32" s="1798"/>
      <c r="O32" s="2175"/>
      <c r="P32" s="2175"/>
      <c r="Q32" s="2175"/>
      <c r="R32" s="2176"/>
      <c r="S32" s="63"/>
      <c r="T32" s="63"/>
      <c r="U32" s="832" t="str">
        <f>IF('PR_Programmatic Progress_1A'!A32="Select","",'PR_Programmatic Progress_1A'!A32)</f>
        <v/>
      </c>
      <c r="V32" s="2215" t="str">
        <f>IF('PR_Programmatic Progress_1A'!B32="","",'PR_Programmatic Progress_1A'!B32)</f>
        <v/>
      </c>
      <c r="W32" s="2215"/>
      <c r="X32" s="2215"/>
      <c r="Y32" s="2215"/>
      <c r="Z32" s="834" t="str">
        <f>IF('PR_Programmatic Progress_1A'!I32="","",'PR_Programmatic Progress_1A'!I32)</f>
        <v>-</v>
      </c>
      <c r="AA32" s="1056" t="str">
        <f>IF('PR_Programmatic Progress_1A'!J32="","",'PR_Programmatic Progress_1A'!J32)</f>
        <v>-</v>
      </c>
      <c r="AB32" s="1056" t="str">
        <f>IF('PR_Programmatic Progress_1A'!K32="","",'PR_Programmatic Progress_1A'!K32)</f>
        <v>-</v>
      </c>
      <c r="AC32" s="895" t="str">
        <f>IF('PR_Programmatic Progress_1A'!L32="","",'PR_Programmatic Progress_1A'!L32)</f>
        <v>-</v>
      </c>
      <c r="AD32" s="2213" t="str">
        <f>'PR_Programmatic Progress_1A'!M32</f>
        <v>Select</v>
      </c>
      <c r="AE32" s="2214"/>
    </row>
    <row r="33" spans="1:31" s="13" customFormat="1" ht="44.25" customHeight="1" x14ac:dyDescent="0.2">
      <c r="A33" s="832" t="str">
        <f t="shared" si="0"/>
        <v/>
      </c>
      <c r="B33" s="2202" t="str">
        <f t="shared" si="1"/>
        <v/>
      </c>
      <c r="C33" s="2203"/>
      <c r="D33" s="2203"/>
      <c r="E33" s="2204"/>
      <c r="F33" s="1143" t="str">
        <f t="shared" si="2"/>
        <v>-</v>
      </c>
      <c r="G33" s="1114" t="str">
        <f t="shared" si="3"/>
        <v>-</v>
      </c>
      <c r="H33" s="1075" t="str">
        <f t="shared" si="3"/>
        <v>-</v>
      </c>
      <c r="I33" s="1114" t="str">
        <f t="shared" si="3"/>
        <v>-</v>
      </c>
      <c r="J33" s="2183" t="str">
        <f t="shared" si="4"/>
        <v>Select</v>
      </c>
      <c r="K33" s="2184"/>
      <c r="L33" s="1072"/>
      <c r="M33" s="1056"/>
      <c r="N33" s="1798"/>
      <c r="O33" s="2175"/>
      <c r="P33" s="2175"/>
      <c r="Q33" s="2175"/>
      <c r="R33" s="2176"/>
      <c r="S33" s="63"/>
      <c r="T33" s="63"/>
      <c r="U33" s="832" t="str">
        <f>IF('PR_Programmatic Progress_1A'!A33="Select","",'PR_Programmatic Progress_1A'!A33)</f>
        <v/>
      </c>
      <c r="V33" s="2215" t="str">
        <f>IF('PR_Programmatic Progress_1A'!B33="","",'PR_Programmatic Progress_1A'!B33)</f>
        <v/>
      </c>
      <c r="W33" s="2215"/>
      <c r="X33" s="2215"/>
      <c r="Y33" s="2215"/>
      <c r="Z33" s="834" t="str">
        <f>IF('PR_Programmatic Progress_1A'!I33="","",'PR_Programmatic Progress_1A'!I33)</f>
        <v>-</v>
      </c>
      <c r="AA33" s="1056" t="str">
        <f>IF('PR_Programmatic Progress_1A'!J33="","",'PR_Programmatic Progress_1A'!J33)</f>
        <v>-</v>
      </c>
      <c r="AB33" s="1056" t="str">
        <f>IF('PR_Programmatic Progress_1A'!K33="","",'PR_Programmatic Progress_1A'!K33)</f>
        <v>-</v>
      </c>
      <c r="AC33" s="895" t="str">
        <f>IF('PR_Programmatic Progress_1A'!L33="","",'PR_Programmatic Progress_1A'!L33)</f>
        <v>-</v>
      </c>
      <c r="AD33" s="2213" t="str">
        <f>'PR_Programmatic Progress_1A'!M33</f>
        <v>Select</v>
      </c>
      <c r="AE33" s="2214"/>
    </row>
    <row r="34" spans="1:31" s="13" customFormat="1" ht="44.25" customHeight="1" x14ac:dyDescent="0.2">
      <c r="A34" s="832" t="str">
        <f t="shared" si="0"/>
        <v/>
      </c>
      <c r="B34" s="2202" t="str">
        <f t="shared" si="1"/>
        <v/>
      </c>
      <c r="C34" s="2203"/>
      <c r="D34" s="2203"/>
      <c r="E34" s="2204"/>
      <c r="F34" s="1143" t="str">
        <f t="shared" si="2"/>
        <v>-</v>
      </c>
      <c r="G34" s="1114" t="str">
        <f t="shared" si="3"/>
        <v>-</v>
      </c>
      <c r="H34" s="1075" t="str">
        <f t="shared" si="3"/>
        <v>-</v>
      </c>
      <c r="I34" s="1114" t="str">
        <f t="shared" si="3"/>
        <v>-</v>
      </c>
      <c r="J34" s="2183" t="str">
        <f t="shared" si="4"/>
        <v>Select</v>
      </c>
      <c r="K34" s="2184"/>
      <c r="L34" s="1072"/>
      <c r="M34" s="1056"/>
      <c r="N34" s="1798"/>
      <c r="O34" s="2175"/>
      <c r="P34" s="2175"/>
      <c r="Q34" s="2175"/>
      <c r="R34" s="2176"/>
      <c r="S34" s="63"/>
      <c r="T34" s="63"/>
      <c r="U34" s="832" t="str">
        <f>IF('PR_Programmatic Progress_1A'!A34="Select","",'PR_Programmatic Progress_1A'!A34)</f>
        <v/>
      </c>
      <c r="V34" s="2215" t="str">
        <f>IF('PR_Programmatic Progress_1A'!B34="","",'PR_Programmatic Progress_1A'!B34)</f>
        <v/>
      </c>
      <c r="W34" s="2215"/>
      <c r="X34" s="2215"/>
      <c r="Y34" s="2215"/>
      <c r="Z34" s="834" t="str">
        <f>IF('PR_Programmatic Progress_1A'!I34="","",'PR_Programmatic Progress_1A'!I34)</f>
        <v>-</v>
      </c>
      <c r="AA34" s="1056" t="str">
        <f>IF('PR_Programmatic Progress_1A'!J34="","",'PR_Programmatic Progress_1A'!J34)</f>
        <v>-</v>
      </c>
      <c r="AB34" s="1056" t="str">
        <f>IF('PR_Programmatic Progress_1A'!K34="","",'PR_Programmatic Progress_1A'!K34)</f>
        <v>-</v>
      </c>
      <c r="AC34" s="895" t="str">
        <f>IF('PR_Programmatic Progress_1A'!L34="","",'PR_Programmatic Progress_1A'!L34)</f>
        <v>-</v>
      </c>
      <c r="AD34" s="2213" t="str">
        <f>'PR_Programmatic Progress_1A'!M34</f>
        <v>Select</v>
      </c>
      <c r="AE34" s="2214"/>
    </row>
    <row r="35" spans="1:31" s="13" customFormat="1" ht="44.25" customHeight="1" x14ac:dyDescent="0.2">
      <c r="A35" s="832" t="str">
        <f t="shared" si="0"/>
        <v/>
      </c>
      <c r="B35" s="2202" t="str">
        <f t="shared" si="1"/>
        <v/>
      </c>
      <c r="C35" s="2203"/>
      <c r="D35" s="2203"/>
      <c r="E35" s="2204"/>
      <c r="F35" s="1143" t="str">
        <f t="shared" si="2"/>
        <v>-</v>
      </c>
      <c r="G35" s="1114" t="str">
        <f t="shared" si="3"/>
        <v>-</v>
      </c>
      <c r="H35" s="1075" t="str">
        <f t="shared" si="3"/>
        <v>-</v>
      </c>
      <c r="I35" s="1114" t="str">
        <f t="shared" si="3"/>
        <v>-</v>
      </c>
      <c r="J35" s="2183" t="str">
        <f t="shared" si="4"/>
        <v>Select</v>
      </c>
      <c r="K35" s="2184"/>
      <c r="L35" s="1072"/>
      <c r="M35" s="1056"/>
      <c r="N35" s="1798"/>
      <c r="O35" s="2175"/>
      <c r="P35" s="2175"/>
      <c r="Q35" s="2175"/>
      <c r="R35" s="2176"/>
      <c r="S35" s="63"/>
      <c r="T35" s="63"/>
      <c r="U35" s="832" t="str">
        <f>IF('PR_Programmatic Progress_1A'!A35="Select","",'PR_Programmatic Progress_1A'!A35)</f>
        <v/>
      </c>
      <c r="V35" s="2215" t="str">
        <f>IF('PR_Programmatic Progress_1A'!B35="","",'PR_Programmatic Progress_1A'!B35)</f>
        <v/>
      </c>
      <c r="W35" s="2215"/>
      <c r="X35" s="2215"/>
      <c r="Y35" s="2215"/>
      <c r="Z35" s="834" t="str">
        <f>IF('PR_Programmatic Progress_1A'!I35="","",'PR_Programmatic Progress_1A'!I35)</f>
        <v>-</v>
      </c>
      <c r="AA35" s="1056" t="str">
        <f>IF('PR_Programmatic Progress_1A'!J35="","",'PR_Programmatic Progress_1A'!J35)</f>
        <v>-</v>
      </c>
      <c r="AB35" s="1056" t="str">
        <f>IF('PR_Programmatic Progress_1A'!K35="","",'PR_Programmatic Progress_1A'!K35)</f>
        <v>-</v>
      </c>
      <c r="AC35" s="895" t="str">
        <f>IF('PR_Programmatic Progress_1A'!L35="","",'PR_Programmatic Progress_1A'!L35)</f>
        <v>-</v>
      </c>
      <c r="AD35" s="2213" t="str">
        <f>'PR_Programmatic Progress_1A'!M35</f>
        <v>Select</v>
      </c>
      <c r="AE35" s="2214"/>
    </row>
    <row r="36" spans="1:31" s="13" customFormat="1" ht="44.25" customHeight="1" thickBot="1" x14ac:dyDescent="0.25">
      <c r="A36" s="1331" t="str">
        <f t="shared" si="0"/>
        <v/>
      </c>
      <c r="B36" s="2205" t="str">
        <f t="shared" si="1"/>
        <v/>
      </c>
      <c r="C36" s="2206"/>
      <c r="D36" s="2206"/>
      <c r="E36" s="2207"/>
      <c r="F36" s="1332" t="str">
        <f t="shared" si="2"/>
        <v>-</v>
      </c>
      <c r="G36" s="1333" t="str">
        <f t="shared" si="3"/>
        <v>-</v>
      </c>
      <c r="H36" s="1334" t="str">
        <f t="shared" si="3"/>
        <v>-</v>
      </c>
      <c r="I36" s="1333" t="str">
        <f t="shared" si="3"/>
        <v>-</v>
      </c>
      <c r="J36" s="2208" t="str">
        <f t="shared" si="4"/>
        <v>Select</v>
      </c>
      <c r="K36" s="2209"/>
      <c r="L36" s="1312"/>
      <c r="M36" s="1335"/>
      <c r="N36" s="2210"/>
      <c r="O36" s="2211"/>
      <c r="P36" s="2211"/>
      <c r="Q36" s="2211"/>
      <c r="R36" s="2212"/>
      <c r="S36" s="63"/>
      <c r="T36" s="63"/>
      <c r="U36" s="832" t="str">
        <f>IF('PR_Programmatic Progress_1A'!A36="Select","",'PR_Programmatic Progress_1A'!A36)</f>
        <v/>
      </c>
      <c r="V36" s="2215" t="str">
        <f>IF('PR_Programmatic Progress_1A'!B36="","",'PR_Programmatic Progress_1A'!B36)</f>
        <v/>
      </c>
      <c r="W36" s="2215"/>
      <c r="X36" s="2215"/>
      <c r="Y36" s="2215"/>
      <c r="Z36" s="834" t="str">
        <f>IF('PR_Programmatic Progress_1A'!I36="","",'PR_Programmatic Progress_1A'!I36)</f>
        <v>-</v>
      </c>
      <c r="AA36" s="1056" t="str">
        <f>IF('PR_Programmatic Progress_1A'!J36="","",'PR_Programmatic Progress_1A'!J36)</f>
        <v>-</v>
      </c>
      <c r="AB36" s="1056" t="str">
        <f>IF('PR_Programmatic Progress_1A'!K36="","",'PR_Programmatic Progress_1A'!K36)</f>
        <v>-</v>
      </c>
      <c r="AC36" s="895" t="str">
        <f>IF('PR_Programmatic Progress_1A'!L36="","",'PR_Programmatic Progress_1A'!L36)</f>
        <v>-</v>
      </c>
      <c r="AD36" s="2213" t="str">
        <f>'PR_Programmatic Progress_1A'!M36</f>
        <v>Select</v>
      </c>
      <c r="AE36" s="2214"/>
    </row>
    <row r="37" spans="1:31" s="13" customFormat="1" x14ac:dyDescent="0.2">
      <c r="A37" s="63"/>
      <c r="B37" s="63"/>
      <c r="C37" s="63"/>
      <c r="D37" s="63"/>
      <c r="E37" s="63"/>
      <c r="F37" s="63"/>
      <c r="G37" s="601"/>
      <c r="H37" s="601"/>
      <c r="I37" s="63"/>
      <c r="J37" s="63"/>
      <c r="K37" s="63"/>
      <c r="L37" s="63"/>
      <c r="M37" s="63"/>
      <c r="N37" s="63"/>
      <c r="O37" s="63"/>
      <c r="P37" s="63"/>
      <c r="Q37" s="63"/>
      <c r="R37" s="63"/>
      <c r="S37" s="63"/>
      <c r="T37" s="63"/>
      <c r="U37" s="63"/>
      <c r="V37" s="63"/>
      <c r="W37" s="63"/>
      <c r="X37" s="63"/>
    </row>
  </sheetData>
  <sheetProtection formatCells="0" formatColumns="0" formatRows="0"/>
  <customSheetViews>
    <customSheetView guid="{E26F941C-F347-432D-B4B3-73B25F002075}" scale="65" fitToPage="1" hiddenColumns="1" topLeftCell="D22">
      <selection activeCell="G56" sqref="G56"/>
      <rowBreaks count="1" manualBreakCount="1">
        <brk id="39" max="16383" man="1"/>
      </rowBreaks>
      <pageMargins left="0.49" right="0.38" top="0.49" bottom="0.49" header="0.43" footer="0.38"/>
      <pageSetup paperSize="9" scale="40" orientation="landscape" cellComments="asDisplayed" r:id="rId1"/>
      <headerFooter alignWithMargins="0">
        <oddFooter>&amp;L&amp;9SD 3.1A - Form, Ongoing DR/PU and LFA Review and Recommendation_v2.1 February 2006&amp;R&amp;9Page &amp;P of &amp;N</oddFooter>
      </headerFooter>
    </customSheetView>
  </customSheetViews>
  <mergeCells count="86">
    <mergeCell ref="AD35:AE35"/>
    <mergeCell ref="V36:Y36"/>
    <mergeCell ref="AD36:AE36"/>
    <mergeCell ref="V33:Y33"/>
    <mergeCell ref="AD33:AE33"/>
    <mergeCell ref="V34:Y34"/>
    <mergeCell ref="AD34:AE34"/>
    <mergeCell ref="V35:Y35"/>
    <mergeCell ref="AD31:AE31"/>
    <mergeCell ref="V32:Y32"/>
    <mergeCell ref="AD32:AE32"/>
    <mergeCell ref="V29:Y29"/>
    <mergeCell ref="AD29:AE29"/>
    <mergeCell ref="V30:Y30"/>
    <mergeCell ref="AD30:AE30"/>
    <mergeCell ref="V31:Y31"/>
    <mergeCell ref="AD27:AE27"/>
    <mergeCell ref="V28:Y28"/>
    <mergeCell ref="AD28:AE28"/>
    <mergeCell ref="AD25:AE26"/>
    <mergeCell ref="V25:Y26"/>
    <mergeCell ref="Z25:Z26"/>
    <mergeCell ref="AA25:AA26"/>
    <mergeCell ref="AB25:AB26"/>
    <mergeCell ref="AC25:AC26"/>
    <mergeCell ref="V27:Y27"/>
    <mergeCell ref="B36:E36"/>
    <mergeCell ref="J36:K36"/>
    <mergeCell ref="N36:R36"/>
    <mergeCell ref="B27:E27"/>
    <mergeCell ref="B28:E28"/>
    <mergeCell ref="J27:K27"/>
    <mergeCell ref="B29:E29"/>
    <mergeCell ref="B30:E30"/>
    <mergeCell ref="N29:R29"/>
    <mergeCell ref="N30:R30"/>
    <mergeCell ref="B34:E34"/>
    <mergeCell ref="J34:K34"/>
    <mergeCell ref="N34:R34"/>
    <mergeCell ref="J28:K28"/>
    <mergeCell ref="B33:E33"/>
    <mergeCell ref="B31:E31"/>
    <mergeCell ref="N28:R28"/>
    <mergeCell ref="N33:R33"/>
    <mergeCell ref="J33:K33"/>
    <mergeCell ref="J31:K31"/>
    <mergeCell ref="B35:E35"/>
    <mergeCell ref="J35:K35"/>
    <mergeCell ref="N35:R35"/>
    <mergeCell ref="N31:R31"/>
    <mergeCell ref="N32:R32"/>
    <mergeCell ref="J32:K32"/>
    <mergeCell ref="B32:E32"/>
    <mergeCell ref="J30:K30"/>
    <mergeCell ref="A1:K1"/>
    <mergeCell ref="A3:B3"/>
    <mergeCell ref="C3:F3"/>
    <mergeCell ref="A5:B5"/>
    <mergeCell ref="C5:F5"/>
    <mergeCell ref="A6:B6"/>
    <mergeCell ref="C6:F6"/>
    <mergeCell ref="U25:U26"/>
    <mergeCell ref="C10:F10"/>
    <mergeCell ref="A20:M20"/>
    <mergeCell ref="A10:B10"/>
    <mergeCell ref="N24:O24"/>
    <mergeCell ref="C14:F14"/>
    <mergeCell ref="C18:F18"/>
    <mergeCell ref="J25:K26"/>
    <mergeCell ref="H25:H26"/>
    <mergeCell ref="N25:R26"/>
    <mergeCell ref="A7:B7"/>
    <mergeCell ref="C7:F7"/>
    <mergeCell ref="A8:B8"/>
    <mergeCell ref="A25:A26"/>
    <mergeCell ref="F25:F26"/>
    <mergeCell ref="B25:E26"/>
    <mergeCell ref="C8:F8"/>
    <mergeCell ref="C9:F9"/>
    <mergeCell ref="J29:K29"/>
    <mergeCell ref="A9:B9"/>
    <mergeCell ref="N27:R27"/>
    <mergeCell ref="G25:G26"/>
    <mergeCell ref="I25:I26"/>
    <mergeCell ref="L25:L26"/>
    <mergeCell ref="M25:M26"/>
  </mergeCells>
  <phoneticPr fontId="29" type="noConversion"/>
  <conditionalFormatting sqref="A27:K36">
    <cfRule type="cellIs" dxfId="73" priority="3" operator="notEqual">
      <formula>U27</formula>
    </cfRule>
  </conditionalFormatting>
  <conditionalFormatting sqref="L27:L36">
    <cfRule type="cellIs" dxfId="72" priority="67" operator="notEqual">
      <formula>#REF!</formula>
    </cfRule>
  </conditionalFormatting>
  <dataValidations count="6">
    <dataValidation allowBlank="1" showInputMessage="1" showErrorMessage="1" sqref="Z27:AC36 U27:U36 A27:A36"/>
    <dataValidation type="list" allowBlank="1" showInputMessage="1" showErrorMessage="1" sqref="G14:H14 G18:H18">
      <formula1>"Select,N/A,1,2,3,4,5,6,7,8,9,10,11,12,13,14,15,16,17,18,19,20"</formula1>
    </dataValidation>
    <dataValidation type="list" allowBlank="1" showInputMessage="1" showErrorMessage="1" sqref="G6:H6">
      <formula1>"Select,Health Systems Strengthening,HIV/AIDS,HIV/TB,Integrated,Malaria,Tuberculosis"</formula1>
    </dataValidation>
    <dataValidation type="list" allowBlank="1" showInputMessage="1" showErrorMessage="1" sqref="G10:H10">
      <formula1>"Select,USD,EUR"</formula1>
    </dataValidation>
    <dataValidation type="list" allowBlank="1" showInputMessage="1" showErrorMessage="1" sqref="G12:H12 G16:H16">
      <formula1>"Select,1,2,3,4,5,6,7,8,9,10,11,12,13,14,15,16,17,18,19,20"</formula1>
    </dataValidation>
    <dataValidation type="list" allowBlank="1" showInputMessage="1" prompt="If &quot;Other&quot;, please specify" sqref="L27:L36">
      <formula1>"Select,Not Verified,Desk Review,Other ..."</formula1>
    </dataValidation>
  </dataValidations>
  <printOptions horizontalCentered="1"/>
  <pageMargins left="0.74803149606299213" right="0.74803149606299213" top="0.59055118110236227" bottom="0.59055118110236227" header="0.51181102362204722" footer="0.51181102362204722"/>
  <pageSetup paperSize="9" scale="40" fitToHeight="0" orientation="landscape" cellComments="asDisplayed" r:id="rId2"/>
  <headerFooter alignWithMargins="0">
    <oddFooter>&amp;L&amp;9&amp;F&amp;C&amp;A&amp;R&amp;9Page &amp;P of &amp;N</oddFooter>
  </headerFooter>
  <ignoredErrors>
    <ignoredError sqref="F12:F13 F16:F17 C18 D16:D17 C14 D12:D13 D5:F10 C5:C6 C8:C10"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AI32"/>
  <sheetViews>
    <sheetView view="pageBreakPreview" zoomScale="70" zoomScaleNormal="40" zoomScaleSheetLayoutView="70" workbookViewId="0">
      <selection sqref="A1:K1"/>
    </sheetView>
  </sheetViews>
  <sheetFormatPr defaultRowHeight="12.75" x14ac:dyDescent="0.2"/>
  <cols>
    <col min="1" max="2" width="13.42578125" style="63" customWidth="1"/>
    <col min="3" max="3" width="19.5703125" style="63" customWidth="1"/>
    <col min="4" max="4" width="22.7109375" style="63" customWidth="1"/>
    <col min="5" max="5" width="14.85546875" style="63" customWidth="1"/>
    <col min="6" max="6" width="24" style="63" customWidth="1"/>
    <col min="7" max="7" width="16.7109375" style="601" customWidth="1"/>
    <col min="8" max="8" width="12.7109375" style="63" customWidth="1"/>
    <col min="9" max="9" width="19.5703125" style="63" customWidth="1"/>
    <col min="10" max="10" width="18.28515625" style="609" customWidth="1"/>
    <col min="11" max="11" width="21.42578125" style="63" bestFit="1" customWidth="1"/>
    <col min="12" max="12" width="21.140625" style="63" bestFit="1" customWidth="1"/>
    <col min="13" max="13" width="12.140625" style="63" customWidth="1"/>
    <col min="14" max="14" width="5.7109375" style="63" customWidth="1"/>
    <col min="15" max="15" width="17" style="63" customWidth="1"/>
    <col min="16" max="16" width="20.140625" style="63" bestFit="1" customWidth="1"/>
    <col min="17" max="17" width="9.140625" style="63"/>
    <col min="18" max="18" width="29.5703125" style="63" customWidth="1"/>
    <col min="19" max="20" width="9.140625" style="63"/>
    <col min="21" max="21" width="2.85546875" style="63" customWidth="1"/>
    <col min="22" max="35" width="9.140625" style="63" hidden="1" customWidth="1"/>
    <col min="36" max="16384" width="9.140625" style="63"/>
  </cols>
  <sheetData>
    <row r="1" spans="1:34" s="3" customFormat="1" ht="25.5" customHeight="1" x14ac:dyDescent="0.35">
      <c r="A1" s="2161" t="s">
        <v>629</v>
      </c>
      <c r="B1" s="2161"/>
      <c r="C1" s="2161"/>
      <c r="D1" s="2161"/>
      <c r="E1" s="2161"/>
      <c r="F1" s="2161"/>
      <c r="G1" s="2161"/>
      <c r="H1" s="2161"/>
      <c r="I1" s="2161"/>
      <c r="J1" s="2161"/>
      <c r="K1" s="2161"/>
      <c r="L1" s="69"/>
      <c r="M1" s="69"/>
      <c r="N1" s="72"/>
      <c r="O1" s="72"/>
      <c r="P1" s="72"/>
      <c r="Q1" s="72"/>
      <c r="R1" s="72"/>
      <c r="S1" s="72"/>
      <c r="T1" s="72"/>
      <c r="U1" s="72"/>
      <c r="V1" s="72"/>
      <c r="W1" s="72"/>
      <c r="X1" s="72"/>
      <c r="Y1" s="72"/>
    </row>
    <row r="2" spans="1:34" s="13" customFormat="1" ht="27" customHeight="1" thickBot="1" x14ac:dyDescent="0.3">
      <c r="A2" s="98" t="s">
        <v>504</v>
      </c>
      <c r="B2" s="72"/>
      <c r="C2" s="72"/>
      <c r="D2" s="72"/>
      <c r="E2" s="72"/>
      <c r="F2" s="72"/>
      <c r="G2" s="72"/>
      <c r="H2" s="72"/>
      <c r="I2" s="72"/>
      <c r="J2" s="453"/>
      <c r="K2" s="72"/>
      <c r="L2" s="72"/>
      <c r="M2" s="72"/>
      <c r="N2" s="72"/>
      <c r="O2" s="72"/>
      <c r="P2" s="72"/>
      <c r="Q2" s="72"/>
      <c r="R2" s="72"/>
      <c r="S2" s="72"/>
      <c r="T2" s="72"/>
      <c r="U2" s="72"/>
      <c r="V2" s="72"/>
      <c r="W2" s="72"/>
      <c r="X2" s="72"/>
      <c r="Y2" s="72"/>
    </row>
    <row r="3" spans="1:34" s="4" customFormat="1" ht="25.5" customHeight="1" thickBot="1" x14ac:dyDescent="0.25">
      <c r="A3" s="1750" t="s">
        <v>419</v>
      </c>
      <c r="B3" s="2270"/>
      <c r="C3" s="2271"/>
      <c r="D3" s="497" t="str">
        <f>IF('LFA_Programmatic Progress_1A'!C7="","",'LFA_Programmatic Progress_1A'!C7)</f>
        <v>BTN-607-G03-H</v>
      </c>
      <c r="E3" s="498"/>
      <c r="F3" s="498"/>
      <c r="G3" s="499"/>
      <c r="H3" s="194"/>
      <c r="I3" s="199"/>
      <c r="J3" s="467"/>
      <c r="K3" s="73"/>
      <c r="L3" s="73"/>
      <c r="M3" s="73"/>
      <c r="N3" s="73"/>
      <c r="O3" s="73"/>
      <c r="P3" s="73"/>
      <c r="Q3" s="73"/>
      <c r="R3" s="73"/>
      <c r="S3" s="73"/>
      <c r="T3" s="73"/>
      <c r="U3" s="73"/>
      <c r="V3" s="73"/>
      <c r="W3" s="73"/>
      <c r="X3" s="73"/>
      <c r="Y3" s="73"/>
    </row>
    <row r="4" spans="1:34" s="4" customFormat="1" ht="15" customHeight="1" x14ac:dyDescent="0.2">
      <c r="A4" s="1750" t="s">
        <v>621</v>
      </c>
      <c r="B4" s="2271"/>
      <c r="C4" s="2271"/>
      <c r="D4" s="53" t="s">
        <v>627</v>
      </c>
      <c r="E4" s="504" t="str">
        <f>IF('LFA_Programmatic Progress_1A'!D12="Select","",'LFA_Programmatic Progress_1A'!D12)</f>
        <v>Quarter</v>
      </c>
      <c r="F4" s="5" t="s">
        <v>628</v>
      </c>
      <c r="G4" s="47">
        <f>IF('LFA_Programmatic Progress_1A'!F12="Select","",'LFA_Programmatic Progress_1A'!F12)</f>
        <v>17</v>
      </c>
      <c r="H4" s="195"/>
      <c r="I4" s="170"/>
      <c r="K4" s="73"/>
      <c r="L4" s="73"/>
      <c r="M4" s="73"/>
      <c r="N4" s="73"/>
      <c r="O4" s="73"/>
      <c r="P4" s="73"/>
      <c r="Q4" s="73"/>
      <c r="R4" s="73"/>
      <c r="S4" s="73"/>
      <c r="T4" s="73"/>
      <c r="U4" s="73"/>
      <c r="V4" s="73"/>
      <c r="W4" s="73"/>
      <c r="X4" s="73"/>
      <c r="Y4" s="73"/>
    </row>
    <row r="5" spans="1:34" s="4" customFormat="1" ht="15" customHeight="1" thickBot="1" x14ac:dyDescent="0.25">
      <c r="A5" s="2272" t="s">
        <v>622</v>
      </c>
      <c r="B5" s="2271"/>
      <c r="C5" s="2271"/>
      <c r="D5" s="54" t="s">
        <v>590</v>
      </c>
      <c r="E5" s="519">
        <f>IF('LFA_Programmatic Progress_1A'!D13="","",'LFA_Programmatic Progress_1A'!D13)</f>
        <v>40940</v>
      </c>
      <c r="F5" s="5" t="s">
        <v>608</v>
      </c>
      <c r="G5" s="520">
        <f>IF('LFA_Programmatic Progress_1A'!F13="","",'LFA_Programmatic Progress_1A'!F13)</f>
        <v>41029</v>
      </c>
      <c r="H5" s="196"/>
      <c r="I5" s="199"/>
      <c r="J5" s="468"/>
      <c r="K5" s="73"/>
      <c r="L5" s="73"/>
      <c r="M5" s="73"/>
      <c r="N5" s="73"/>
      <c r="O5" s="73"/>
      <c r="P5" s="73"/>
      <c r="Q5" s="73"/>
      <c r="R5" s="73"/>
      <c r="S5" s="73"/>
      <c r="T5" s="73"/>
      <c r="U5" s="73"/>
      <c r="V5" s="73"/>
      <c r="W5" s="73"/>
      <c r="X5" s="73"/>
      <c r="Y5" s="73"/>
    </row>
    <row r="6" spans="1:34" s="4" customFormat="1" ht="15" customHeight="1" thickBot="1" x14ac:dyDescent="0.25">
      <c r="A6" s="2273" t="s">
        <v>623</v>
      </c>
      <c r="B6" s="2274"/>
      <c r="C6" s="2275"/>
      <c r="D6" s="494">
        <f>IF('LFA_Programmatic Progress_1A'!C14="Select","",'LFA_Programmatic Progress_1A'!C14)</f>
        <v>17</v>
      </c>
      <c r="E6" s="494"/>
      <c r="F6" s="494"/>
      <c r="G6" s="495"/>
      <c r="I6" s="198"/>
      <c r="J6" s="469"/>
      <c r="K6" s="73"/>
      <c r="L6" s="73"/>
      <c r="M6" s="73"/>
      <c r="N6" s="73"/>
      <c r="O6" s="73"/>
      <c r="P6" s="73"/>
      <c r="Q6" s="73"/>
      <c r="R6" s="73"/>
      <c r="S6" s="73"/>
      <c r="T6" s="73"/>
      <c r="U6" s="73"/>
      <c r="V6" s="73"/>
      <c r="W6" s="73"/>
      <c r="X6" s="73"/>
      <c r="Y6" s="73"/>
    </row>
    <row r="7" spans="1:34" s="67" customFormat="1" ht="22.5" customHeight="1" x14ac:dyDescent="0.2">
      <c r="A7" s="2252"/>
      <c r="B7" s="2252"/>
      <c r="C7" s="2252"/>
      <c r="D7" s="2252"/>
      <c r="E7" s="2252"/>
      <c r="F7" s="2252"/>
      <c r="G7" s="2252"/>
      <c r="H7" s="2252"/>
      <c r="I7" s="2252"/>
      <c r="J7" s="2252"/>
      <c r="K7" s="2252"/>
      <c r="L7" s="2252"/>
      <c r="M7" s="68"/>
    </row>
    <row r="8" spans="1:34" s="67" customFormat="1" ht="39" customHeight="1" thickBot="1" x14ac:dyDescent="0.25">
      <c r="A8" s="2251" t="s">
        <v>249</v>
      </c>
      <c r="B8" s="2251"/>
      <c r="C8" s="2251"/>
      <c r="D8" s="2251"/>
      <c r="E8" s="2251"/>
      <c r="F8" s="2251"/>
      <c r="G8" s="2251"/>
      <c r="H8" s="2251"/>
      <c r="I8" s="2251"/>
      <c r="J8" s="2251"/>
      <c r="K8" s="2251"/>
      <c r="L8" s="2251"/>
      <c r="M8" s="2251"/>
      <c r="N8" s="2251"/>
      <c r="O8" s="2251"/>
      <c r="P8" s="2251"/>
      <c r="Q8" s="2251"/>
      <c r="R8" s="2251"/>
      <c r="S8" s="2251"/>
      <c r="T8" s="2251"/>
    </row>
    <row r="9" spans="1:34" s="13" customFormat="1" ht="21.75" customHeight="1" thickBot="1" x14ac:dyDescent="0.25">
      <c r="A9" s="2253" t="s">
        <v>243</v>
      </c>
      <c r="B9" s="2254"/>
      <c r="C9" s="2254"/>
      <c r="D9" s="2254"/>
      <c r="E9" s="2254"/>
      <c r="F9" s="2254"/>
      <c r="G9" s="2254"/>
      <c r="H9" s="2254"/>
      <c r="I9" s="2254"/>
      <c r="J9" s="2254"/>
      <c r="K9" s="2254"/>
      <c r="L9" s="2254"/>
      <c r="M9" s="2254"/>
      <c r="N9" s="2254"/>
      <c r="O9" s="2254"/>
      <c r="P9" s="2254"/>
      <c r="Q9" s="2254"/>
      <c r="R9" s="2254"/>
      <c r="S9" s="2254"/>
      <c r="T9" s="2255"/>
      <c r="U9" s="63"/>
      <c r="V9" s="63"/>
      <c r="W9" s="2253" t="s">
        <v>243</v>
      </c>
      <c r="X9" s="2254"/>
      <c r="Y9" s="2254"/>
      <c r="Z9" s="2254"/>
      <c r="AA9" s="2254"/>
      <c r="AB9" s="2254"/>
      <c r="AC9" s="2254"/>
      <c r="AD9" s="2254"/>
      <c r="AE9" s="2254"/>
      <c r="AF9" s="2254"/>
      <c r="AG9" s="2254"/>
      <c r="AH9" s="2255"/>
    </row>
    <row r="10" spans="1:34" s="13" customFormat="1" ht="12.75" customHeight="1" x14ac:dyDescent="0.2">
      <c r="A10" s="2264" t="s">
        <v>485</v>
      </c>
      <c r="B10" s="2256" t="s">
        <v>566</v>
      </c>
      <c r="C10" s="2266" t="s">
        <v>593</v>
      </c>
      <c r="D10" s="2266"/>
      <c r="E10" s="2267"/>
      <c r="F10" s="2267"/>
      <c r="G10" s="2267"/>
      <c r="H10" s="2256" t="s">
        <v>407</v>
      </c>
      <c r="I10" s="2256" t="s">
        <v>242</v>
      </c>
      <c r="J10" s="2256" t="s">
        <v>350</v>
      </c>
      <c r="K10" s="2256" t="s">
        <v>412</v>
      </c>
      <c r="L10" s="2256" t="s">
        <v>161</v>
      </c>
      <c r="M10" s="2256" t="s">
        <v>487</v>
      </c>
      <c r="N10" s="2263"/>
      <c r="O10" s="2256" t="s">
        <v>375</v>
      </c>
      <c r="P10" s="1768" t="s">
        <v>422</v>
      </c>
      <c r="Q10" s="2256" t="s">
        <v>421</v>
      </c>
      <c r="R10" s="2258"/>
      <c r="S10" s="2258"/>
      <c r="T10" s="2259"/>
      <c r="U10" s="63"/>
      <c r="V10" s="63"/>
      <c r="W10" s="2264" t="s">
        <v>485</v>
      </c>
      <c r="X10" s="2276" t="s">
        <v>566</v>
      </c>
      <c r="Y10" s="2266" t="s">
        <v>593</v>
      </c>
      <c r="Z10" s="2266"/>
      <c r="AA10" s="2267"/>
      <c r="AB10" s="2267"/>
      <c r="AC10" s="2267"/>
      <c r="AD10" s="2256" t="s">
        <v>407</v>
      </c>
      <c r="AE10" s="2276" t="s">
        <v>242</v>
      </c>
      <c r="AF10" s="2276" t="s">
        <v>350</v>
      </c>
      <c r="AG10" s="2256" t="s">
        <v>412</v>
      </c>
      <c r="AH10" s="2279" t="s">
        <v>161</v>
      </c>
    </row>
    <row r="11" spans="1:34" s="13" customFormat="1" ht="87.75" customHeight="1" thickBot="1" x14ac:dyDescent="0.25">
      <c r="A11" s="1785"/>
      <c r="B11" s="2265"/>
      <c r="C11" s="2268"/>
      <c r="D11" s="2268"/>
      <c r="E11" s="2269"/>
      <c r="F11" s="2269"/>
      <c r="G11" s="2269"/>
      <c r="H11" s="2257"/>
      <c r="I11" s="1769"/>
      <c r="J11" s="1769"/>
      <c r="K11" s="2257"/>
      <c r="L11" s="2257"/>
      <c r="M11" s="2257"/>
      <c r="N11" s="2257"/>
      <c r="O11" s="2257"/>
      <c r="P11" s="2262"/>
      <c r="Q11" s="2260"/>
      <c r="R11" s="2260"/>
      <c r="S11" s="2260"/>
      <c r="T11" s="2261"/>
      <c r="U11" s="63"/>
      <c r="V11" s="63"/>
      <c r="W11" s="1785"/>
      <c r="X11" s="2277"/>
      <c r="Y11" s="2268"/>
      <c r="Z11" s="2268"/>
      <c r="AA11" s="2269"/>
      <c r="AB11" s="2269"/>
      <c r="AC11" s="2269"/>
      <c r="AD11" s="2257"/>
      <c r="AE11" s="2278"/>
      <c r="AF11" s="2278"/>
      <c r="AG11" s="2257"/>
      <c r="AH11" s="2280"/>
    </row>
    <row r="12" spans="1:34" s="13" customFormat="1" ht="327" customHeight="1" x14ac:dyDescent="0.2">
      <c r="A12" s="605">
        <f>W12</f>
        <v>1</v>
      </c>
      <c r="B12" s="606">
        <f>X12</f>
        <v>1.1000000000000001</v>
      </c>
      <c r="C12" s="2244" t="str">
        <f>Y12</f>
        <v>Young people reached by life-skill based HIV/AIDS education in schools-grade 7 and above (number and percentage)</v>
      </c>
      <c r="D12" s="2244"/>
      <c r="E12" s="2245"/>
      <c r="F12" s="2245"/>
      <c r="G12" s="2245"/>
      <c r="H12" s="1056" t="str">
        <f t="shared" ref="H12:H23" si="0">AD12</f>
        <v>GF</v>
      </c>
      <c r="I12" s="1056" t="str">
        <f t="shared" ref="I12:L22" si="1">AE12</f>
        <v>Y-over program term</v>
      </c>
      <c r="J12" s="1056" t="str">
        <f t="shared" si="1"/>
        <v>Yes - Top 10</v>
      </c>
      <c r="K12" s="1115">
        <f t="shared" si="1"/>
        <v>80100</v>
      </c>
      <c r="L12" s="1116">
        <f t="shared" si="1"/>
        <v>75197</v>
      </c>
      <c r="M12" s="2249" t="s">
        <v>760</v>
      </c>
      <c r="N12" s="2250"/>
      <c r="O12" s="1407">
        <v>55829</v>
      </c>
      <c r="P12" s="1122">
        <v>0.74</v>
      </c>
      <c r="Q12" s="2246" t="s">
        <v>1157</v>
      </c>
      <c r="R12" s="2247"/>
      <c r="S12" s="2247"/>
      <c r="T12" s="2248"/>
      <c r="U12" s="63"/>
      <c r="V12" s="63"/>
      <c r="W12" s="605">
        <f>IF('PR_Programmatic Progress_1B'!A12="","",'PR_Programmatic Progress_1B'!A12)</f>
        <v>1</v>
      </c>
      <c r="X12" s="606">
        <f>IF('PR_Programmatic Progress_1B'!B12="","",'PR_Programmatic Progress_1B'!B12)</f>
        <v>1.1000000000000001</v>
      </c>
      <c r="Y12" s="2244" t="str">
        <f>IF('PR_Programmatic Progress_1B'!C12="","",'PR_Programmatic Progress_1B'!C12)</f>
        <v>Young people reached by life-skill based HIV/AIDS education in schools-grade 7 and above (number and percentage)</v>
      </c>
      <c r="Z12" s="2244"/>
      <c r="AA12" s="2245"/>
      <c r="AB12" s="2245"/>
      <c r="AC12" s="2245"/>
      <c r="AD12" s="1056" t="str">
        <f>IF('PR_Programmatic Progress_1B'!G12="","",'PR_Programmatic Progress_1B'!G12)</f>
        <v>GF</v>
      </c>
      <c r="AE12" s="1056" t="str">
        <f>IF('PR_Programmatic Progress_1B'!H12="","",'PR_Programmatic Progress_1B'!H12)</f>
        <v>Y-over program term</v>
      </c>
      <c r="AF12" s="1056" t="str">
        <f>IF('PR_Programmatic Progress_1B'!I12="","",'PR_Programmatic Progress_1B'!I12)</f>
        <v>Yes - Top 10</v>
      </c>
      <c r="AG12" s="1056">
        <f>IF('PR_Programmatic Progress_1B'!L12="","",'PR_Programmatic Progress_1B'!L12)</f>
        <v>80100</v>
      </c>
      <c r="AH12" s="1080">
        <f>IF('PR_Programmatic Progress_1B'!M12="","",'PR_Programmatic Progress_1B'!M12)</f>
        <v>75197</v>
      </c>
    </row>
    <row r="13" spans="1:34" s="13" customFormat="1" ht="409.5" customHeight="1" x14ac:dyDescent="0.2">
      <c r="A13" s="607">
        <f t="shared" ref="A13:A23" si="2">W13</f>
        <v>1</v>
      </c>
      <c r="B13" s="608">
        <f t="shared" ref="B13:B23" si="3">X13</f>
        <v>1.2</v>
      </c>
      <c r="C13" s="2231" t="str">
        <f t="shared" ref="C13:C23" si="4">Y13</f>
        <v>Number of teachers trained on life skill based HIV/AIDS education</v>
      </c>
      <c r="D13" s="2232"/>
      <c r="E13" s="2232"/>
      <c r="F13" s="2232"/>
      <c r="G13" s="2233"/>
      <c r="H13" s="1056" t="str">
        <f t="shared" si="0"/>
        <v>GF</v>
      </c>
      <c r="I13" s="1056" t="str">
        <f t="shared" si="1"/>
        <v>Y-over program term</v>
      </c>
      <c r="J13" s="1056" t="str">
        <f t="shared" si="1"/>
        <v>No</v>
      </c>
      <c r="K13" s="1115">
        <f t="shared" si="1"/>
        <v>729</v>
      </c>
      <c r="L13" s="1117">
        <f t="shared" ref="L13:L23" si="5">AH13</f>
        <v>578</v>
      </c>
      <c r="M13" s="2239" t="s">
        <v>760</v>
      </c>
      <c r="N13" s="2240"/>
      <c r="O13" s="1677">
        <v>395</v>
      </c>
      <c r="P13" s="1678">
        <f>O13/K13</f>
        <v>0.54183813443072704</v>
      </c>
      <c r="Q13" s="2241" t="s">
        <v>1122</v>
      </c>
      <c r="R13" s="2242"/>
      <c r="S13" s="2242"/>
      <c r="T13" s="2243"/>
      <c r="U13" s="63"/>
      <c r="V13" s="63"/>
      <c r="W13" s="607">
        <f>IF('PR_Programmatic Progress_1B'!A13="","",'PR_Programmatic Progress_1B'!A13)</f>
        <v>1</v>
      </c>
      <c r="X13" s="608">
        <f>IF('PR_Programmatic Progress_1B'!B13="","",'PR_Programmatic Progress_1B'!B13)</f>
        <v>1.2</v>
      </c>
      <c r="Y13" s="2231" t="str">
        <f>IF('PR_Programmatic Progress_1B'!C13="","",'PR_Programmatic Progress_1B'!C13)</f>
        <v>Number of teachers trained on life skill based HIV/AIDS education</v>
      </c>
      <c r="Z13" s="2232"/>
      <c r="AA13" s="2232"/>
      <c r="AB13" s="2232"/>
      <c r="AC13" s="2233"/>
      <c r="AD13" s="1056" t="str">
        <f>IF('PR_Programmatic Progress_1B'!G13="","",'PR_Programmatic Progress_1B'!G13)</f>
        <v>GF</v>
      </c>
      <c r="AE13" s="1056" t="str">
        <f>IF('PR_Programmatic Progress_1B'!H13="","",'PR_Programmatic Progress_1B'!H13)</f>
        <v>Y-over program term</v>
      </c>
      <c r="AF13" s="1056" t="str">
        <f>IF('PR_Programmatic Progress_1B'!I13="","",'PR_Programmatic Progress_1B'!I13)</f>
        <v>No</v>
      </c>
      <c r="AG13" s="1056">
        <f>IF('PR_Programmatic Progress_1B'!L13="","",'PR_Programmatic Progress_1B'!L13)</f>
        <v>729</v>
      </c>
      <c r="AH13" s="1081">
        <f>IF('PR_Programmatic Progress_1B'!M13="","",'PR_Programmatic Progress_1B'!M13)</f>
        <v>578</v>
      </c>
    </row>
    <row r="14" spans="1:34" s="13" customFormat="1" ht="273" customHeight="1" x14ac:dyDescent="0.2">
      <c r="A14" s="607">
        <f t="shared" si="2"/>
        <v>1</v>
      </c>
      <c r="B14" s="608">
        <f t="shared" si="3"/>
        <v>1.3</v>
      </c>
      <c r="C14" s="2231" t="str">
        <f t="shared" si="4"/>
        <v>% of young people 15-24 in school who both correctly identify ways of preventing sexual transmission of HIV and who reject the major misconceptions about HIV transmission (UNGASS)</v>
      </c>
      <c r="D14" s="2232"/>
      <c r="E14" s="2232"/>
      <c r="F14" s="2232"/>
      <c r="G14" s="2233"/>
      <c r="H14" s="1056" t="str">
        <f t="shared" si="0"/>
        <v>National Program</v>
      </c>
      <c r="I14" s="1056" t="str">
        <f t="shared" si="1"/>
        <v>N-not cumulative</v>
      </c>
      <c r="J14" s="1056" t="str">
        <f t="shared" si="1"/>
        <v>Yes - Top 10</v>
      </c>
      <c r="K14" s="1115" t="str">
        <f t="shared" si="1"/>
        <v>N/A</v>
      </c>
      <c r="L14" s="1117">
        <f t="shared" si="5"/>
        <v>0</v>
      </c>
      <c r="M14" s="2239" t="s">
        <v>760</v>
      </c>
      <c r="N14" s="2240"/>
      <c r="O14" s="1056" t="s">
        <v>666</v>
      </c>
      <c r="P14" s="1123" t="s">
        <v>761</v>
      </c>
      <c r="Q14" s="2234" t="s">
        <v>759</v>
      </c>
      <c r="R14" s="2235"/>
      <c r="S14" s="2235"/>
      <c r="T14" s="2236"/>
      <c r="U14" s="63"/>
      <c r="V14" s="63"/>
      <c r="W14" s="607">
        <f>IF('PR_Programmatic Progress_1B'!A14="","",'PR_Programmatic Progress_1B'!A14)</f>
        <v>1</v>
      </c>
      <c r="X14" s="608">
        <f>IF('PR_Programmatic Progress_1B'!B14="","",'PR_Programmatic Progress_1B'!B14)</f>
        <v>1.3</v>
      </c>
      <c r="Y14" s="2231" t="str">
        <f>IF('PR_Programmatic Progress_1B'!C14="","",'PR_Programmatic Progress_1B'!C14)</f>
        <v>% of young people 15-24 in school who both correctly identify ways of preventing sexual transmission of HIV and who reject the major misconceptions about HIV transmission (UNGASS)</v>
      </c>
      <c r="Z14" s="2232"/>
      <c r="AA14" s="2232"/>
      <c r="AB14" s="2232"/>
      <c r="AC14" s="2233"/>
      <c r="AD14" s="1056" t="str">
        <f>IF('PR_Programmatic Progress_1B'!G14="","",'PR_Programmatic Progress_1B'!G14)</f>
        <v>National Program</v>
      </c>
      <c r="AE14" s="1056" t="str">
        <f>IF('PR_Programmatic Progress_1B'!H14="","",'PR_Programmatic Progress_1B'!H14)</f>
        <v>N-not cumulative</v>
      </c>
      <c r="AF14" s="1056" t="str">
        <f>IF('PR_Programmatic Progress_1B'!I14="","",'PR_Programmatic Progress_1B'!I14)</f>
        <v>Yes - Top 10</v>
      </c>
      <c r="AG14" s="1056" t="str">
        <f>IF('PR_Programmatic Progress_1B'!L14="","",'PR_Programmatic Progress_1B'!L14)</f>
        <v>N/A</v>
      </c>
      <c r="AH14" s="1081">
        <f>IF('PR_Programmatic Progress_1B'!M14="","",'PR_Programmatic Progress_1B'!M14)</f>
        <v>0</v>
      </c>
    </row>
    <row r="15" spans="1:34" s="13" customFormat="1" ht="409.5" customHeight="1" x14ac:dyDescent="0.2">
      <c r="A15" s="607">
        <f t="shared" si="2"/>
        <v>1</v>
      </c>
      <c r="B15" s="608">
        <f t="shared" si="3"/>
        <v>1.4</v>
      </c>
      <c r="C15" s="2231" t="str">
        <f t="shared" si="4"/>
        <v xml:space="preserve">People reached by HIV/AIDS education in out-of-school settings  </v>
      </c>
      <c r="D15" s="2232"/>
      <c r="E15" s="2232"/>
      <c r="F15" s="2232"/>
      <c r="G15" s="2233"/>
      <c r="H15" s="1056" t="str">
        <f t="shared" si="0"/>
        <v>GF</v>
      </c>
      <c r="I15" s="1056" t="str">
        <f t="shared" si="1"/>
        <v>Y-over program term</v>
      </c>
      <c r="J15" s="1056" t="str">
        <f t="shared" si="1"/>
        <v>Yes - Top 10</v>
      </c>
      <c r="K15" s="1115">
        <f t="shared" si="1"/>
        <v>23350</v>
      </c>
      <c r="L15" s="1117">
        <f t="shared" si="5"/>
        <v>23365</v>
      </c>
      <c r="M15" s="2239" t="s">
        <v>760</v>
      </c>
      <c r="N15" s="2240"/>
      <c r="O15" s="1072">
        <v>22846</v>
      </c>
      <c r="P15" s="1123">
        <v>1.05</v>
      </c>
      <c r="Q15" s="2234" t="s">
        <v>762</v>
      </c>
      <c r="R15" s="2235"/>
      <c r="S15" s="2235"/>
      <c r="T15" s="2236"/>
      <c r="U15" s="63"/>
      <c r="V15" s="63"/>
      <c r="W15" s="607">
        <f>IF('PR_Programmatic Progress_1B'!A15="","",'PR_Programmatic Progress_1B'!A15)</f>
        <v>1</v>
      </c>
      <c r="X15" s="608">
        <f>IF('PR_Programmatic Progress_1B'!B15="","",'PR_Programmatic Progress_1B'!B15)</f>
        <v>1.4</v>
      </c>
      <c r="Y15" s="2231" t="str">
        <f>IF('PR_Programmatic Progress_1B'!C15="","",'PR_Programmatic Progress_1B'!C15)</f>
        <v xml:space="preserve">People reached by HIV/AIDS education in out-of-school settings  </v>
      </c>
      <c r="Z15" s="2232"/>
      <c r="AA15" s="2232"/>
      <c r="AB15" s="2232"/>
      <c r="AC15" s="2233"/>
      <c r="AD15" s="1056" t="str">
        <f>IF('PR_Programmatic Progress_1B'!G15="","",'PR_Programmatic Progress_1B'!G15)</f>
        <v>GF</v>
      </c>
      <c r="AE15" s="1056" t="str">
        <f>IF('PR_Programmatic Progress_1B'!H15="","",'PR_Programmatic Progress_1B'!H15)</f>
        <v>Y-over program term</v>
      </c>
      <c r="AF15" s="1056" t="str">
        <f>IF('PR_Programmatic Progress_1B'!I15="","",'PR_Programmatic Progress_1B'!I15)</f>
        <v>Yes - Top 10</v>
      </c>
      <c r="AG15" s="1056">
        <f>IF('PR_Programmatic Progress_1B'!L15="","",'PR_Programmatic Progress_1B'!L15)</f>
        <v>23350</v>
      </c>
      <c r="AH15" s="1081">
        <f>IF('PR_Programmatic Progress_1B'!M15="","",'PR_Programmatic Progress_1B'!M15)</f>
        <v>23365</v>
      </c>
    </row>
    <row r="16" spans="1:34" s="13" customFormat="1" ht="307.5" customHeight="1" x14ac:dyDescent="0.2">
      <c r="A16" s="607">
        <f t="shared" si="2"/>
        <v>1</v>
      </c>
      <c r="B16" s="608">
        <f t="shared" si="3"/>
        <v>1.5</v>
      </c>
      <c r="C16" s="2231" t="str">
        <f t="shared" si="4"/>
        <v>Non Formal Education Instructors trained to provide HIV out-of-school education</v>
      </c>
      <c r="D16" s="2232"/>
      <c r="E16" s="2232"/>
      <c r="F16" s="2232"/>
      <c r="G16" s="2233"/>
      <c r="H16" s="1056" t="str">
        <f t="shared" si="0"/>
        <v>GF</v>
      </c>
      <c r="I16" s="1056" t="str">
        <f t="shared" si="1"/>
        <v>Y-over program term</v>
      </c>
      <c r="J16" s="1056" t="str">
        <f t="shared" si="1"/>
        <v>Yes - Top 10</v>
      </c>
      <c r="K16" s="1115">
        <f t="shared" si="1"/>
        <v>897</v>
      </c>
      <c r="L16" s="1117">
        <f t="shared" si="5"/>
        <v>816</v>
      </c>
      <c r="M16" s="2239" t="s">
        <v>760</v>
      </c>
      <c r="N16" s="2240"/>
      <c r="O16" s="1056">
        <v>816</v>
      </c>
      <c r="P16" s="1123">
        <v>0.92</v>
      </c>
      <c r="Q16" s="2234" t="s">
        <v>763</v>
      </c>
      <c r="R16" s="2235"/>
      <c r="S16" s="2235"/>
      <c r="T16" s="2236"/>
      <c r="U16" s="63"/>
      <c r="V16" s="63"/>
      <c r="W16" s="607">
        <f>IF('PR_Programmatic Progress_1B'!A16="","",'PR_Programmatic Progress_1B'!A16)</f>
        <v>1</v>
      </c>
      <c r="X16" s="608">
        <f>IF('PR_Programmatic Progress_1B'!B16="","",'PR_Programmatic Progress_1B'!B16)</f>
        <v>1.5</v>
      </c>
      <c r="Y16" s="2231" t="str">
        <f>IF('PR_Programmatic Progress_1B'!C16="","",'PR_Programmatic Progress_1B'!C16)</f>
        <v>Non Formal Education Instructors trained to provide HIV out-of-school education</v>
      </c>
      <c r="Z16" s="2232"/>
      <c r="AA16" s="2232"/>
      <c r="AB16" s="2232"/>
      <c r="AC16" s="2233"/>
      <c r="AD16" s="1056" t="str">
        <f>IF('PR_Programmatic Progress_1B'!G16="","",'PR_Programmatic Progress_1B'!G16)</f>
        <v>GF</v>
      </c>
      <c r="AE16" s="1056" t="str">
        <f>IF('PR_Programmatic Progress_1B'!H16="","",'PR_Programmatic Progress_1B'!H16)</f>
        <v>Y-over program term</v>
      </c>
      <c r="AF16" s="1056" t="str">
        <f>IF('PR_Programmatic Progress_1B'!I16="","",'PR_Programmatic Progress_1B'!I16)</f>
        <v>Yes - Top 10</v>
      </c>
      <c r="AG16" s="1056">
        <f>IF('PR_Programmatic Progress_1B'!L16="","",'PR_Programmatic Progress_1B'!L16)</f>
        <v>897</v>
      </c>
      <c r="AH16" s="1081">
        <f>IF('PR_Programmatic Progress_1B'!M16="","",'PR_Programmatic Progress_1B'!M16)</f>
        <v>816</v>
      </c>
    </row>
    <row r="17" spans="1:34" s="13" customFormat="1" ht="321.75" customHeight="1" x14ac:dyDescent="0.2">
      <c r="A17" s="607">
        <f t="shared" si="2"/>
        <v>1</v>
      </c>
      <c r="B17" s="608">
        <f t="shared" si="3"/>
        <v>1.6</v>
      </c>
      <c r="C17" s="2231" t="str">
        <f t="shared" si="4"/>
        <v xml:space="preserve">Number of Transport workers reached with HIV education </v>
      </c>
      <c r="D17" s="2232"/>
      <c r="E17" s="2232"/>
      <c r="F17" s="2232"/>
      <c r="G17" s="2233"/>
      <c r="H17" s="1056" t="str">
        <f t="shared" si="0"/>
        <v>GF and other donors</v>
      </c>
      <c r="I17" s="1056" t="str">
        <f t="shared" si="1"/>
        <v>Y-over program term</v>
      </c>
      <c r="J17" s="1056" t="str">
        <f t="shared" si="1"/>
        <v>Yes - Top 10</v>
      </c>
      <c r="K17" s="1115">
        <f t="shared" ref="K17:K23" si="6">AG17</f>
        <v>1830</v>
      </c>
      <c r="L17" s="1117">
        <f t="shared" si="5"/>
        <v>1721</v>
      </c>
      <c r="M17" s="2239" t="s">
        <v>760</v>
      </c>
      <c r="N17" s="2240"/>
      <c r="O17" s="1072">
        <v>1442</v>
      </c>
      <c r="P17" s="1123">
        <v>1.34</v>
      </c>
      <c r="Q17" s="2234" t="s">
        <v>764</v>
      </c>
      <c r="R17" s="2235"/>
      <c r="S17" s="2235"/>
      <c r="T17" s="2236"/>
      <c r="U17" s="63"/>
      <c r="V17" s="63"/>
      <c r="W17" s="607">
        <f>IF('PR_Programmatic Progress_1B'!A17="","",'PR_Programmatic Progress_1B'!A17)</f>
        <v>1</v>
      </c>
      <c r="X17" s="608">
        <f>IF('PR_Programmatic Progress_1B'!B17="","",'PR_Programmatic Progress_1B'!B17)</f>
        <v>1.6</v>
      </c>
      <c r="Y17" s="2231" t="str">
        <f>IF('PR_Programmatic Progress_1B'!C17="","",'PR_Programmatic Progress_1B'!C17)</f>
        <v xml:space="preserve">Number of Transport workers reached with HIV education </v>
      </c>
      <c r="Z17" s="2232"/>
      <c r="AA17" s="2232"/>
      <c r="AB17" s="2232"/>
      <c r="AC17" s="2233"/>
      <c r="AD17" s="1056" t="str">
        <f>IF('PR_Programmatic Progress_1B'!G17="","",'PR_Programmatic Progress_1B'!G17)</f>
        <v>GF and other donors</v>
      </c>
      <c r="AE17" s="1056" t="str">
        <f>IF('PR_Programmatic Progress_1B'!H17="","",'PR_Programmatic Progress_1B'!H17)</f>
        <v>Y-over program term</v>
      </c>
      <c r="AF17" s="1056" t="str">
        <f>IF('PR_Programmatic Progress_1B'!I17="","",'PR_Programmatic Progress_1B'!I17)</f>
        <v>Yes - Top 10</v>
      </c>
      <c r="AG17" s="1056">
        <f>IF('PR_Programmatic Progress_1B'!L17="","",'PR_Programmatic Progress_1B'!L17)</f>
        <v>1830</v>
      </c>
      <c r="AH17" s="1081">
        <f>IF('PR_Programmatic Progress_1B'!M17="","",'PR_Programmatic Progress_1B'!M17)</f>
        <v>1721</v>
      </c>
    </row>
    <row r="18" spans="1:34" s="13" customFormat="1" ht="339" customHeight="1" x14ac:dyDescent="0.2">
      <c r="A18" s="607">
        <f t="shared" si="2"/>
        <v>1</v>
      </c>
      <c r="B18" s="608">
        <f t="shared" si="3"/>
        <v>1.7</v>
      </c>
      <c r="C18" s="2231" t="str">
        <f t="shared" si="4"/>
        <v>Number of Most at Risk individuals reached with  HIV education materials (primary substance users and sex workers)</v>
      </c>
      <c r="D18" s="2232"/>
      <c r="E18" s="2232"/>
      <c r="F18" s="2232"/>
      <c r="G18" s="2233"/>
      <c r="H18" s="1056" t="str">
        <f t="shared" si="0"/>
        <v>GF and other donors</v>
      </c>
      <c r="I18" s="1056" t="str">
        <f t="shared" si="1"/>
        <v>Y-over program term</v>
      </c>
      <c r="J18" s="1056" t="str">
        <f t="shared" si="1"/>
        <v>No</v>
      </c>
      <c r="K18" s="1115">
        <f t="shared" si="6"/>
        <v>350</v>
      </c>
      <c r="L18" s="1117">
        <f t="shared" si="5"/>
        <v>429</v>
      </c>
      <c r="M18" s="2239" t="s">
        <v>760</v>
      </c>
      <c r="N18" s="2240"/>
      <c r="O18" s="1056">
        <v>142</v>
      </c>
      <c r="P18" s="1123">
        <v>0.56999999999999995</v>
      </c>
      <c r="Q18" s="2234" t="s">
        <v>765</v>
      </c>
      <c r="R18" s="2235"/>
      <c r="S18" s="2235"/>
      <c r="T18" s="2236"/>
      <c r="U18" s="63"/>
      <c r="V18" s="63"/>
      <c r="W18" s="607">
        <f>IF('PR_Programmatic Progress_1B'!A18="","",'PR_Programmatic Progress_1B'!A18)</f>
        <v>1</v>
      </c>
      <c r="X18" s="608">
        <f>IF('PR_Programmatic Progress_1B'!B18="","",'PR_Programmatic Progress_1B'!B18)</f>
        <v>1.7</v>
      </c>
      <c r="Y18" s="2231" t="str">
        <f>IF('PR_Programmatic Progress_1B'!C18="","",'PR_Programmatic Progress_1B'!C18)</f>
        <v>Number of Most at Risk individuals reached with  HIV education materials (primary substance users and sex workers)</v>
      </c>
      <c r="Z18" s="2232"/>
      <c r="AA18" s="2232"/>
      <c r="AB18" s="2232"/>
      <c r="AC18" s="2233"/>
      <c r="AD18" s="1056" t="str">
        <f>IF('PR_Programmatic Progress_1B'!G18="","",'PR_Programmatic Progress_1B'!G18)</f>
        <v>GF and other donors</v>
      </c>
      <c r="AE18" s="1056" t="str">
        <f>IF('PR_Programmatic Progress_1B'!H18="","",'PR_Programmatic Progress_1B'!H18)</f>
        <v>Y-over program term</v>
      </c>
      <c r="AF18" s="1056" t="str">
        <f>IF('PR_Programmatic Progress_1B'!I18="","",'PR_Programmatic Progress_1B'!I18)</f>
        <v>No</v>
      </c>
      <c r="AG18" s="1056">
        <f>IF('PR_Programmatic Progress_1B'!L18="","",'PR_Programmatic Progress_1B'!L18)</f>
        <v>350</v>
      </c>
      <c r="AH18" s="1081">
        <f>IF('PR_Programmatic Progress_1B'!M18="","",'PR_Programmatic Progress_1B'!M18)</f>
        <v>429</v>
      </c>
    </row>
    <row r="19" spans="1:34" s="13" customFormat="1" ht="328.5" customHeight="1" x14ac:dyDescent="0.2">
      <c r="A19" s="607">
        <f t="shared" si="2"/>
        <v>1</v>
      </c>
      <c r="B19" s="608">
        <f t="shared" si="3"/>
        <v>1.8</v>
      </c>
      <c r="C19" s="2231" t="str">
        <f t="shared" si="4"/>
        <v>Number of uniformed personnel and their families participating in HIV Awareness workshops</v>
      </c>
      <c r="D19" s="2232"/>
      <c r="E19" s="2232"/>
      <c r="F19" s="2232"/>
      <c r="G19" s="2233"/>
      <c r="H19" s="1056" t="str">
        <f t="shared" si="0"/>
        <v>GF and other donors</v>
      </c>
      <c r="I19" s="1056" t="str">
        <f t="shared" si="1"/>
        <v>Y-over program term</v>
      </c>
      <c r="J19" s="1056" t="str">
        <f t="shared" si="1"/>
        <v>Yes - Top 10</v>
      </c>
      <c r="K19" s="1115">
        <f t="shared" si="6"/>
        <v>21250</v>
      </c>
      <c r="L19" s="1117">
        <f t="shared" si="5"/>
        <v>17488</v>
      </c>
      <c r="M19" s="2239" t="s">
        <v>760</v>
      </c>
      <c r="N19" s="2240"/>
      <c r="O19" s="1072">
        <v>17461</v>
      </c>
      <c r="P19" s="1123">
        <v>1.03</v>
      </c>
      <c r="Q19" s="2234" t="s">
        <v>766</v>
      </c>
      <c r="R19" s="2235"/>
      <c r="S19" s="2235"/>
      <c r="T19" s="2236"/>
      <c r="U19" s="63"/>
      <c r="V19" s="63"/>
      <c r="W19" s="607">
        <f>IF('PR_Programmatic Progress_1B'!A19="","",'PR_Programmatic Progress_1B'!A19)</f>
        <v>1</v>
      </c>
      <c r="X19" s="608">
        <f>IF('PR_Programmatic Progress_1B'!B19="","",'PR_Programmatic Progress_1B'!B19)</f>
        <v>1.8</v>
      </c>
      <c r="Y19" s="2231" t="str">
        <f>IF('PR_Programmatic Progress_1B'!C19="","",'PR_Programmatic Progress_1B'!C19)</f>
        <v>Number of uniformed personnel and their families participating in HIV Awareness workshops</v>
      </c>
      <c r="Z19" s="2232"/>
      <c r="AA19" s="2232"/>
      <c r="AB19" s="2232"/>
      <c r="AC19" s="2233"/>
      <c r="AD19" s="1056" t="str">
        <f>IF('PR_Programmatic Progress_1B'!G19="","",'PR_Programmatic Progress_1B'!G19)</f>
        <v>GF and other donors</v>
      </c>
      <c r="AE19" s="1056" t="str">
        <f>IF('PR_Programmatic Progress_1B'!H19="","",'PR_Programmatic Progress_1B'!H19)</f>
        <v>Y-over program term</v>
      </c>
      <c r="AF19" s="1056" t="str">
        <f>IF('PR_Programmatic Progress_1B'!I19="","",'PR_Programmatic Progress_1B'!I19)</f>
        <v>Yes - Top 10</v>
      </c>
      <c r="AG19" s="1056">
        <f>IF('PR_Programmatic Progress_1B'!L19="","",'PR_Programmatic Progress_1B'!L19)</f>
        <v>21250</v>
      </c>
      <c r="AH19" s="1081">
        <f>IF('PR_Programmatic Progress_1B'!M19="","",'PR_Programmatic Progress_1B'!M19)</f>
        <v>17488</v>
      </c>
    </row>
    <row r="20" spans="1:34" s="13" customFormat="1" ht="335.25" customHeight="1" x14ac:dyDescent="0.2">
      <c r="A20" s="607">
        <f t="shared" si="2"/>
        <v>1</v>
      </c>
      <c r="B20" s="608">
        <f t="shared" si="3"/>
        <v>1.9</v>
      </c>
      <c r="C20" s="2231" t="str">
        <f t="shared" si="4"/>
        <v>Number of monks, nuns and members of non-formal religious groups reached by HIV/AIDS education</v>
      </c>
      <c r="D20" s="2232"/>
      <c r="E20" s="2232"/>
      <c r="F20" s="2232"/>
      <c r="G20" s="2233"/>
      <c r="H20" s="1056" t="str">
        <f t="shared" si="0"/>
        <v>GF and other donors</v>
      </c>
      <c r="I20" s="1056" t="str">
        <f t="shared" si="1"/>
        <v>Y-over program term</v>
      </c>
      <c r="J20" s="1056" t="str">
        <f t="shared" si="1"/>
        <v>Yes - Top 10</v>
      </c>
      <c r="K20" s="1115">
        <f t="shared" si="6"/>
        <v>8250</v>
      </c>
      <c r="L20" s="1117">
        <f t="shared" si="5"/>
        <v>6654</v>
      </c>
      <c r="M20" s="2239" t="s">
        <v>767</v>
      </c>
      <c r="N20" s="2240"/>
      <c r="O20" s="1072">
        <v>6434</v>
      </c>
      <c r="P20" s="1123">
        <v>0.86</v>
      </c>
      <c r="Q20" s="2234" t="s">
        <v>768</v>
      </c>
      <c r="R20" s="2235"/>
      <c r="S20" s="2235"/>
      <c r="T20" s="2236"/>
      <c r="U20" s="63"/>
      <c r="V20" s="63"/>
      <c r="W20" s="607">
        <f>IF('PR_Programmatic Progress_1B'!A20="","",'PR_Programmatic Progress_1B'!A20)</f>
        <v>1</v>
      </c>
      <c r="X20" s="608">
        <f>IF('PR_Programmatic Progress_1B'!B20="","",'PR_Programmatic Progress_1B'!B20)</f>
        <v>1.9</v>
      </c>
      <c r="Y20" s="2231" t="str">
        <f>IF('PR_Programmatic Progress_1B'!C20="","",'PR_Programmatic Progress_1B'!C20)</f>
        <v>Number of monks, nuns and members of non-formal religious groups reached by HIV/AIDS education</v>
      </c>
      <c r="Z20" s="2232"/>
      <c r="AA20" s="2232"/>
      <c r="AB20" s="2232"/>
      <c r="AC20" s="2233"/>
      <c r="AD20" s="1056" t="str">
        <f>IF('PR_Programmatic Progress_1B'!G20="","",'PR_Programmatic Progress_1B'!G20)</f>
        <v>GF and other donors</v>
      </c>
      <c r="AE20" s="1056" t="str">
        <f>IF('PR_Programmatic Progress_1B'!H20="","",'PR_Programmatic Progress_1B'!H20)</f>
        <v>Y-over program term</v>
      </c>
      <c r="AF20" s="1056" t="str">
        <f>IF('PR_Programmatic Progress_1B'!I20="","",'PR_Programmatic Progress_1B'!I20)</f>
        <v>Yes - Top 10</v>
      </c>
      <c r="AG20" s="1056">
        <f>IF('PR_Programmatic Progress_1B'!L20="","",'PR_Programmatic Progress_1B'!L20)</f>
        <v>8250</v>
      </c>
      <c r="AH20" s="1081">
        <f>IF('PR_Programmatic Progress_1B'!M20="","",'PR_Programmatic Progress_1B'!M20)</f>
        <v>6654</v>
      </c>
    </row>
    <row r="21" spans="1:34" s="13" customFormat="1" ht="357.75" customHeight="1" x14ac:dyDescent="0.2">
      <c r="A21" s="607">
        <f t="shared" si="2"/>
        <v>2</v>
      </c>
      <c r="B21" s="608">
        <f t="shared" si="3"/>
        <v>2.2000000000000002</v>
      </c>
      <c r="C21" s="2231" t="str">
        <f t="shared" si="4"/>
        <v>Number of persons counseled and tested including provision of results</v>
      </c>
      <c r="D21" s="2232"/>
      <c r="E21" s="2232"/>
      <c r="F21" s="2232"/>
      <c r="G21" s="2233"/>
      <c r="H21" s="1056" t="str">
        <f t="shared" si="0"/>
        <v>GF and other donors</v>
      </c>
      <c r="I21" s="1056" t="str">
        <f t="shared" si="1"/>
        <v>Y-over program term</v>
      </c>
      <c r="J21" s="1056" t="str">
        <f t="shared" si="1"/>
        <v>Yes - Top 10</v>
      </c>
      <c r="K21" s="1115">
        <f t="shared" si="6"/>
        <v>29200</v>
      </c>
      <c r="L21" s="1117">
        <f t="shared" si="5"/>
        <v>42313</v>
      </c>
      <c r="M21" s="2239" t="s">
        <v>760</v>
      </c>
      <c r="N21" s="2240"/>
      <c r="O21" s="1072">
        <v>42230</v>
      </c>
      <c r="P21" s="1123">
        <v>1.49</v>
      </c>
      <c r="Q21" s="2234" t="s">
        <v>775</v>
      </c>
      <c r="R21" s="2235"/>
      <c r="S21" s="2235"/>
      <c r="T21" s="2236"/>
      <c r="U21" s="63"/>
      <c r="V21" s="63"/>
      <c r="W21" s="607">
        <f>IF('PR_Programmatic Progress_1B'!A21="","",'PR_Programmatic Progress_1B'!A21)</f>
        <v>2</v>
      </c>
      <c r="X21" s="608">
        <f>IF('PR_Programmatic Progress_1B'!B21="","",'PR_Programmatic Progress_1B'!B21)</f>
        <v>2.2000000000000002</v>
      </c>
      <c r="Y21" s="2231" t="str">
        <f>IF('PR_Programmatic Progress_1B'!C21="","",'PR_Programmatic Progress_1B'!C21)</f>
        <v>Number of persons counseled and tested including provision of results</v>
      </c>
      <c r="Z21" s="2232"/>
      <c r="AA21" s="2232"/>
      <c r="AB21" s="2232"/>
      <c r="AC21" s="2233"/>
      <c r="AD21" s="1056" t="str">
        <f>IF('PR_Programmatic Progress_1B'!G21="","",'PR_Programmatic Progress_1B'!G21)</f>
        <v>GF and other donors</v>
      </c>
      <c r="AE21" s="1056" t="str">
        <f>IF('PR_Programmatic Progress_1B'!H21="","",'PR_Programmatic Progress_1B'!H21)</f>
        <v>Y-over program term</v>
      </c>
      <c r="AF21" s="1056" t="str">
        <f>IF('PR_Programmatic Progress_1B'!I21="","",'PR_Programmatic Progress_1B'!I21)</f>
        <v>Yes - Top 10</v>
      </c>
      <c r="AG21" s="1056">
        <f>IF('PR_Programmatic Progress_1B'!L21="","",'PR_Programmatic Progress_1B'!L21)</f>
        <v>29200</v>
      </c>
      <c r="AH21" s="1081">
        <f>IF('PR_Programmatic Progress_1B'!M21="","",'PR_Programmatic Progress_1B'!M21)</f>
        <v>42313</v>
      </c>
    </row>
    <row r="22" spans="1:34" s="13" customFormat="1" ht="352.5" customHeight="1" x14ac:dyDescent="0.2">
      <c r="A22" s="607">
        <f t="shared" si="2"/>
        <v>2</v>
      </c>
      <c r="B22" s="608">
        <f t="shared" si="3"/>
        <v>2.2999999999999998</v>
      </c>
      <c r="C22" s="2231" t="str">
        <f t="shared" si="4"/>
        <v>Number of people with advanced HIV infection receiving antiretroviral treatment</v>
      </c>
      <c r="D22" s="2232"/>
      <c r="E22" s="2232"/>
      <c r="F22" s="2232"/>
      <c r="G22" s="2233"/>
      <c r="H22" s="1056" t="str">
        <f t="shared" si="0"/>
        <v>GF and other donors</v>
      </c>
      <c r="I22" s="1056" t="str">
        <f t="shared" si="1"/>
        <v>N-not cumulative</v>
      </c>
      <c r="J22" s="1056" t="str">
        <f t="shared" si="1"/>
        <v>Yes - Top 10</v>
      </c>
      <c r="K22" s="1115">
        <f t="shared" si="6"/>
        <v>90</v>
      </c>
      <c r="L22" s="1117">
        <f t="shared" si="5"/>
        <v>78</v>
      </c>
      <c r="M22" s="2239" t="s">
        <v>760</v>
      </c>
      <c r="N22" s="2240"/>
      <c r="O22" s="1056">
        <v>63</v>
      </c>
      <c r="P22" s="1123">
        <v>0.74</v>
      </c>
      <c r="Q22" s="2234" t="s">
        <v>769</v>
      </c>
      <c r="R22" s="2235"/>
      <c r="S22" s="2235"/>
      <c r="T22" s="2236"/>
      <c r="U22" s="63"/>
      <c r="V22" s="63"/>
      <c r="W22" s="607">
        <f>IF('PR_Programmatic Progress_1B'!A22="","",'PR_Programmatic Progress_1B'!A22)</f>
        <v>2</v>
      </c>
      <c r="X22" s="608">
        <f>IF('PR_Programmatic Progress_1B'!B22="","",'PR_Programmatic Progress_1B'!B22)</f>
        <v>2.2999999999999998</v>
      </c>
      <c r="Y22" s="2231" t="str">
        <f>IF('PR_Programmatic Progress_1B'!C22="","",'PR_Programmatic Progress_1B'!C22)</f>
        <v>Number of people with advanced HIV infection receiving antiretroviral treatment</v>
      </c>
      <c r="Z22" s="2232"/>
      <c r="AA22" s="2232"/>
      <c r="AB22" s="2232"/>
      <c r="AC22" s="2233"/>
      <c r="AD22" s="1056" t="str">
        <f>IF('PR_Programmatic Progress_1B'!G22="","",'PR_Programmatic Progress_1B'!G22)</f>
        <v>GF and other donors</v>
      </c>
      <c r="AE22" s="1056" t="str">
        <f>IF('PR_Programmatic Progress_1B'!H22="","",'PR_Programmatic Progress_1B'!H22)</f>
        <v>N-not cumulative</v>
      </c>
      <c r="AF22" s="1056" t="str">
        <f>IF('PR_Programmatic Progress_1B'!I22="","",'PR_Programmatic Progress_1B'!I22)</f>
        <v>Yes - Top 10</v>
      </c>
      <c r="AG22" s="1056">
        <f>IF('PR_Programmatic Progress_1B'!L22="","",'PR_Programmatic Progress_1B'!L22)</f>
        <v>90</v>
      </c>
      <c r="AH22" s="1081">
        <f>IF('PR_Programmatic Progress_1B'!M22="","",'PR_Programmatic Progress_1B'!M22)</f>
        <v>78</v>
      </c>
    </row>
    <row r="23" spans="1:34" s="13" customFormat="1" ht="69" customHeight="1" x14ac:dyDescent="0.2">
      <c r="A23" s="607" t="str">
        <f t="shared" si="2"/>
        <v/>
      </c>
      <c r="B23" s="608" t="str">
        <f t="shared" si="3"/>
        <v/>
      </c>
      <c r="C23" s="2231" t="str">
        <f t="shared" si="4"/>
        <v/>
      </c>
      <c r="D23" s="2232"/>
      <c r="E23" s="2232"/>
      <c r="F23" s="2232"/>
      <c r="G23" s="2233"/>
      <c r="H23" s="1056" t="str">
        <f t="shared" si="0"/>
        <v>Select</v>
      </c>
      <c r="I23" s="1056" t="str">
        <f>AE23</f>
        <v>Select</v>
      </c>
      <c r="J23" s="1056" t="str">
        <f>AF23</f>
        <v>Select</v>
      </c>
      <c r="K23" s="1115" t="str">
        <f t="shared" si="6"/>
        <v>-</v>
      </c>
      <c r="L23" s="1117" t="str">
        <f t="shared" si="5"/>
        <v>-</v>
      </c>
      <c r="M23" s="2239"/>
      <c r="N23" s="2240"/>
      <c r="O23" s="1056"/>
      <c r="P23" s="1123"/>
      <c r="Q23" s="2234"/>
      <c r="R23" s="2235"/>
      <c r="S23" s="2235"/>
      <c r="T23" s="2236"/>
      <c r="U23" s="63"/>
      <c r="V23" s="63"/>
      <c r="W23" s="607" t="str">
        <f>IF('PR_Programmatic Progress_1B'!A31="","",'PR_Programmatic Progress_1B'!A31)</f>
        <v/>
      </c>
      <c r="X23" s="608" t="str">
        <f>IF('PR_Programmatic Progress_1B'!B31="","",'PR_Programmatic Progress_1B'!B31)</f>
        <v/>
      </c>
      <c r="Y23" s="2231" t="str">
        <f>IF('PR_Programmatic Progress_1B'!C31="","",'PR_Programmatic Progress_1B'!C31)</f>
        <v/>
      </c>
      <c r="Z23" s="2232"/>
      <c r="AA23" s="2232"/>
      <c r="AB23" s="2232"/>
      <c r="AC23" s="2233"/>
      <c r="AD23" s="1056" t="str">
        <f>IF('PR_Programmatic Progress_1B'!G31="","",'PR_Programmatic Progress_1B'!G31)</f>
        <v>Select</v>
      </c>
      <c r="AE23" s="1056" t="str">
        <f>IF('PR_Programmatic Progress_1B'!H31="","",'PR_Programmatic Progress_1B'!H31)</f>
        <v>Select</v>
      </c>
      <c r="AF23" s="1056" t="str">
        <f>IF('PR_Programmatic Progress_1B'!I31="","",'PR_Programmatic Progress_1B'!I31)</f>
        <v>Select</v>
      </c>
      <c r="AG23" s="1056" t="str">
        <f>IF('PR_Programmatic Progress_1B'!L31="","",'PR_Programmatic Progress_1B'!L31)</f>
        <v>-</v>
      </c>
      <c r="AH23" s="1081" t="str">
        <f>IF('PR_Programmatic Progress_1B'!M31="","",'PR_Programmatic Progress_1B'!M31)</f>
        <v>-</v>
      </c>
    </row>
    <row r="24" spans="1:34" x14ac:dyDescent="0.2">
      <c r="I24" s="609"/>
    </row>
    <row r="25" spans="1:34" ht="52.5" customHeight="1" thickBot="1" x14ac:dyDescent="0.25">
      <c r="A25" s="2237" t="s">
        <v>423</v>
      </c>
      <c r="B25" s="2238"/>
      <c r="C25" s="2238"/>
      <c r="D25" s="2238"/>
      <c r="E25" s="2238"/>
      <c r="F25" s="2238"/>
      <c r="G25" s="2238"/>
      <c r="H25" s="2238"/>
      <c r="I25" s="2238"/>
      <c r="J25" s="2238"/>
      <c r="K25" s="2238"/>
      <c r="L25" s="2238"/>
      <c r="M25" s="2238"/>
      <c r="N25" s="2238"/>
      <c r="O25" s="2238"/>
      <c r="P25" s="2238"/>
      <c r="Q25" s="2238"/>
      <c r="R25" s="2238"/>
      <c r="S25" s="2238"/>
      <c r="T25" s="2238"/>
    </row>
    <row r="26" spans="1:34" x14ac:dyDescent="0.2">
      <c r="A26" s="2222" t="s">
        <v>1158</v>
      </c>
      <c r="B26" s="2223"/>
      <c r="C26" s="2223"/>
      <c r="D26" s="2223"/>
      <c r="E26" s="2223"/>
      <c r="F26" s="2223"/>
      <c r="G26" s="2223"/>
      <c r="H26" s="2223"/>
      <c r="I26" s="2223"/>
      <c r="J26" s="2223"/>
      <c r="K26" s="2223"/>
      <c r="L26" s="2223"/>
      <c r="M26" s="2223"/>
      <c r="N26" s="2223"/>
      <c r="O26" s="2223"/>
      <c r="P26" s="2223"/>
      <c r="Q26" s="2223"/>
      <c r="R26" s="2223"/>
      <c r="S26" s="2223"/>
      <c r="T26" s="2224"/>
    </row>
    <row r="27" spans="1:34" x14ac:dyDescent="0.2">
      <c r="A27" s="2225"/>
      <c r="B27" s="2226"/>
      <c r="C27" s="2226"/>
      <c r="D27" s="2226"/>
      <c r="E27" s="2226"/>
      <c r="F27" s="2226"/>
      <c r="G27" s="2226"/>
      <c r="H27" s="2226"/>
      <c r="I27" s="2226"/>
      <c r="J27" s="2226"/>
      <c r="K27" s="2226"/>
      <c r="L27" s="2226"/>
      <c r="M27" s="2226"/>
      <c r="N27" s="2226"/>
      <c r="O27" s="2226"/>
      <c r="P27" s="2226"/>
      <c r="Q27" s="2226"/>
      <c r="R27" s="2226"/>
      <c r="S27" s="2226"/>
      <c r="T27" s="2227"/>
    </row>
    <row r="28" spans="1:34" ht="20.25" customHeight="1" x14ac:dyDescent="0.2">
      <c r="A28" s="2225"/>
      <c r="B28" s="2226"/>
      <c r="C28" s="2226"/>
      <c r="D28" s="2226"/>
      <c r="E28" s="2226"/>
      <c r="F28" s="2226"/>
      <c r="G28" s="2226"/>
      <c r="H28" s="2226"/>
      <c r="I28" s="2226"/>
      <c r="J28" s="2226"/>
      <c r="K28" s="2226"/>
      <c r="L28" s="2226"/>
      <c r="M28" s="2226"/>
      <c r="N28" s="2226"/>
      <c r="O28" s="2226"/>
      <c r="P28" s="2226"/>
      <c r="Q28" s="2226"/>
      <c r="R28" s="2226"/>
      <c r="S28" s="2226"/>
      <c r="T28" s="2227"/>
    </row>
    <row r="29" spans="1:34" x14ac:dyDescent="0.2">
      <c r="A29" s="2225"/>
      <c r="B29" s="2226"/>
      <c r="C29" s="2226"/>
      <c r="D29" s="2226"/>
      <c r="E29" s="2226"/>
      <c r="F29" s="2226"/>
      <c r="G29" s="2226"/>
      <c r="H29" s="2226"/>
      <c r="I29" s="2226"/>
      <c r="J29" s="2226"/>
      <c r="K29" s="2226"/>
      <c r="L29" s="2226"/>
      <c r="M29" s="2226"/>
      <c r="N29" s="2226"/>
      <c r="O29" s="2226"/>
      <c r="P29" s="2226"/>
      <c r="Q29" s="2226"/>
      <c r="R29" s="2226"/>
      <c r="S29" s="2226"/>
      <c r="T29" s="2227"/>
    </row>
    <row r="30" spans="1:34" x14ac:dyDescent="0.2">
      <c r="A30" s="2225"/>
      <c r="B30" s="2226"/>
      <c r="C30" s="2226"/>
      <c r="D30" s="2226"/>
      <c r="E30" s="2226"/>
      <c r="F30" s="2226"/>
      <c r="G30" s="2226"/>
      <c r="H30" s="2226"/>
      <c r="I30" s="2226"/>
      <c r="J30" s="2226"/>
      <c r="K30" s="2226"/>
      <c r="L30" s="2226"/>
      <c r="M30" s="2226"/>
      <c r="N30" s="2226"/>
      <c r="O30" s="2226"/>
      <c r="P30" s="2226"/>
      <c r="Q30" s="2226"/>
      <c r="R30" s="2226"/>
      <c r="S30" s="2226"/>
      <c r="T30" s="2227"/>
    </row>
    <row r="31" spans="1:34" x14ac:dyDescent="0.2">
      <c r="A31" s="2225"/>
      <c r="B31" s="2226"/>
      <c r="C31" s="2226"/>
      <c r="D31" s="2226"/>
      <c r="E31" s="2226"/>
      <c r="F31" s="2226"/>
      <c r="G31" s="2226"/>
      <c r="H31" s="2226"/>
      <c r="I31" s="2226"/>
      <c r="J31" s="2226"/>
      <c r="K31" s="2226"/>
      <c r="L31" s="2226"/>
      <c r="M31" s="2226"/>
      <c r="N31" s="2226"/>
      <c r="O31" s="2226"/>
      <c r="P31" s="2226"/>
      <c r="Q31" s="2226"/>
      <c r="R31" s="2226"/>
      <c r="S31" s="2226"/>
      <c r="T31" s="2227"/>
    </row>
    <row r="32" spans="1:34" ht="21" customHeight="1" thickBot="1" x14ac:dyDescent="0.25">
      <c r="A32" s="2228"/>
      <c r="B32" s="2229"/>
      <c r="C32" s="2229"/>
      <c r="D32" s="2229"/>
      <c r="E32" s="2229"/>
      <c r="F32" s="2229"/>
      <c r="G32" s="2229"/>
      <c r="H32" s="2229"/>
      <c r="I32" s="2229"/>
      <c r="J32" s="2229"/>
      <c r="K32" s="2229"/>
      <c r="L32" s="2229"/>
      <c r="M32" s="2229"/>
      <c r="N32" s="2229"/>
      <c r="O32" s="2229"/>
      <c r="P32" s="2229"/>
      <c r="Q32" s="2229"/>
      <c r="R32" s="2229"/>
      <c r="S32" s="2229"/>
      <c r="T32" s="2230"/>
    </row>
  </sheetData>
  <sheetProtection formatCells="0" formatColumns="0" formatRows="0"/>
  <customSheetViews>
    <customSheetView guid="{E26F941C-F347-432D-B4B3-73B25F002075}" scale="70" fitToPage="1" hiddenColumns="1" topLeftCell="AH1">
      <selection activeCell="G6" sqref="G6"/>
      <pageMargins left="0.45" right="0.5" top="0.56000000000000005" bottom="0.45" header="0.36" footer="0.22"/>
      <printOptions horizontalCentered="1"/>
      <pageSetup paperSize="9" scale="43" orientation="landscape" cellComments="asDisplayed" r:id="rId1"/>
      <headerFooter alignWithMargins="0">
        <oddFooter>&amp;L&amp;9SD 3.1A - Form, Ongoing DR/PU and LFA Review and Recommendation_v2.1 February 2006&amp;R&amp;9Page &amp;P of &amp;N</oddFooter>
      </headerFooter>
    </customSheetView>
  </customSheetViews>
  <mergeCells count="79">
    <mergeCell ref="Y14:AC14"/>
    <mergeCell ref="Y15:AC15"/>
    <mergeCell ref="Y23:AC23"/>
    <mergeCell ref="Y12:AC12"/>
    <mergeCell ref="Y13:AC13"/>
    <mergeCell ref="Y18:AC18"/>
    <mergeCell ref="Y19:AC19"/>
    <mergeCell ref="Y16:AC16"/>
    <mergeCell ref="Y17:AC17"/>
    <mergeCell ref="M22:N22"/>
    <mergeCell ref="Y22:AC22"/>
    <mergeCell ref="Y20:AC20"/>
    <mergeCell ref="Y21:AC21"/>
    <mergeCell ref="Q20:T20"/>
    <mergeCell ref="M20:N20"/>
    <mergeCell ref="Q21:T21"/>
    <mergeCell ref="M21:N21"/>
    <mergeCell ref="W9:AH9"/>
    <mergeCell ref="W10:W11"/>
    <mergeCell ref="X10:X11"/>
    <mergeCell ref="Y10:AC11"/>
    <mergeCell ref="AD10:AD11"/>
    <mergeCell ref="AE10:AE11"/>
    <mergeCell ref="AF10:AF11"/>
    <mergeCell ref="AG10:AG11"/>
    <mergeCell ref="AH10:AH11"/>
    <mergeCell ref="A1:K1"/>
    <mergeCell ref="A3:C3"/>
    <mergeCell ref="A4:C4"/>
    <mergeCell ref="A5:C5"/>
    <mergeCell ref="A6:C6"/>
    <mergeCell ref="A8:T8"/>
    <mergeCell ref="A7:L7"/>
    <mergeCell ref="A9:T9"/>
    <mergeCell ref="H10:H11"/>
    <mergeCell ref="Q10:T11"/>
    <mergeCell ref="O10:O11"/>
    <mergeCell ref="L10:L11"/>
    <mergeCell ref="J10:J11"/>
    <mergeCell ref="P10:P11"/>
    <mergeCell ref="M10:N11"/>
    <mergeCell ref="A10:A11"/>
    <mergeCell ref="I10:I11"/>
    <mergeCell ref="K10:K11"/>
    <mergeCell ref="B10:B11"/>
    <mergeCell ref="C10:G11"/>
    <mergeCell ref="C12:G12"/>
    <mergeCell ref="Q12:T12"/>
    <mergeCell ref="M17:N17"/>
    <mergeCell ref="C15:G15"/>
    <mergeCell ref="C17:G17"/>
    <mergeCell ref="M16:N16"/>
    <mergeCell ref="C13:G13"/>
    <mergeCell ref="M13:N13"/>
    <mergeCell ref="M14:N14"/>
    <mergeCell ref="C16:G16"/>
    <mergeCell ref="M15:N15"/>
    <mergeCell ref="M12:N12"/>
    <mergeCell ref="C21:G21"/>
    <mergeCell ref="C22:G22"/>
    <mergeCell ref="C19:G19"/>
    <mergeCell ref="C20:G20"/>
    <mergeCell ref="Q13:T13"/>
    <mergeCell ref="Q16:T16"/>
    <mergeCell ref="Q17:T17"/>
    <mergeCell ref="Q15:T15"/>
    <mergeCell ref="Q14:T14"/>
    <mergeCell ref="C14:G14"/>
    <mergeCell ref="Q22:T22"/>
    <mergeCell ref="C18:G18"/>
    <mergeCell ref="Q18:T18"/>
    <mergeCell ref="M18:N18"/>
    <mergeCell ref="M19:N19"/>
    <mergeCell ref="Q19:T19"/>
    <mergeCell ref="A26:T32"/>
    <mergeCell ref="C23:G23"/>
    <mergeCell ref="Q23:T23"/>
    <mergeCell ref="A25:T25"/>
    <mergeCell ref="M23:N23"/>
  </mergeCells>
  <phoneticPr fontId="29" type="noConversion"/>
  <conditionalFormatting sqref="A12:L23">
    <cfRule type="cellIs" dxfId="71" priority="1" operator="notEqual">
      <formula>W12</formula>
    </cfRule>
  </conditionalFormatting>
  <dataValidations count="5">
    <dataValidation type="list" allowBlank="1" showInputMessage="1" showErrorMessage="1" sqref="M12:M23">
      <formula1>"Select,Not Verified,Desk Review,PR On-site Visit,SR On-site Visit,Other ..."</formula1>
    </dataValidation>
    <dataValidation type="list" allowBlank="1" showInputMessage="1" showErrorMessage="1" sqref="AF12:AF23 J12:J23">
      <formula1>"Select, Yes - Top 10, Top 10 equivalent, No"</formula1>
    </dataValidation>
    <dataValidation type="list" allowBlank="1" showInputMessage="1" showErrorMessage="1" sqref="AD12:AD23 H12:H23">
      <formula1>"Select, National Program, Current grant, GF, GF and other donors"</formula1>
    </dataValidation>
    <dataValidation type="list" allowBlank="1" showInputMessage="1" showErrorMessage="1" sqref="I12:I23">
      <formula1>"Select, Y-over program term, Y-cumulative annually, N-not cumulative, Y-over RCC term"</formula1>
    </dataValidation>
    <dataValidation type="list" allowBlank="1" showInputMessage="1" showErrorMessage="1" sqref="AE12:AE23">
      <formula1>"Select, Y-over program term, Y-cumulative annually, N-not cumulative"</formula1>
    </dataValidation>
  </dataValidations>
  <printOptions horizontalCentered="1"/>
  <pageMargins left="0.55118110236220474" right="0.55118110236220474" top="0.39370078740157483" bottom="0.59055118110236227" header="0.51181102362204722" footer="0.51181102362204722"/>
  <pageSetup paperSize="9" scale="41" fitToHeight="0" orientation="landscape" cellComments="asDisplayed" r:id="rId2"/>
  <headerFooter alignWithMargins="0">
    <oddFooter>&amp;L&amp;9&amp;F&amp;C&amp;A&amp;R&amp;9Page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Q70"/>
  <sheetViews>
    <sheetView workbookViewId="0">
      <selection activeCell="A3" sqref="A3"/>
    </sheetView>
  </sheetViews>
  <sheetFormatPr defaultColWidth="6.85546875" defaultRowHeight="11.25" x14ac:dyDescent="0.2"/>
  <cols>
    <col min="1" max="1" width="1.140625" style="1589" customWidth="1"/>
    <col min="2" max="5" width="12.85546875" style="1589" customWidth="1"/>
    <col min="6" max="6" width="48" style="1589" customWidth="1"/>
    <col min="7" max="7" width="14.28515625" style="1589" customWidth="1"/>
    <col min="8" max="8" width="14.28515625" style="1590" customWidth="1"/>
    <col min="9" max="9" width="14.28515625" style="1589" customWidth="1"/>
    <col min="10" max="10" width="14.28515625" style="1590" customWidth="1"/>
    <col min="11" max="11" width="14.28515625" style="1589" customWidth="1"/>
    <col min="12" max="12" width="11.85546875" style="1589" customWidth="1"/>
    <col min="13" max="13" width="12.28515625" style="1590" customWidth="1"/>
    <col min="14" max="14" width="10.28515625" style="1589" customWidth="1"/>
    <col min="15" max="15" width="7.5703125" style="1589" customWidth="1"/>
    <col min="16" max="16" width="11.7109375" style="1589" bestFit="1" customWidth="1"/>
    <col min="17" max="17" width="13.5703125" style="1589" customWidth="1"/>
    <col min="18" max="16384" width="6.85546875" style="1589"/>
  </cols>
  <sheetData>
    <row r="1" spans="1:17" ht="5.25" customHeight="1" x14ac:dyDescent="0.2"/>
    <row r="2" spans="1:17" ht="17.25" customHeight="1" x14ac:dyDescent="0.2">
      <c r="A2" s="1591"/>
      <c r="B2" s="1592" t="s">
        <v>1078</v>
      </c>
      <c r="C2" s="1593"/>
      <c r="D2" s="1593"/>
      <c r="E2" s="1593"/>
      <c r="F2" s="1593"/>
      <c r="G2" s="1594"/>
      <c r="H2" s="1595"/>
      <c r="I2" s="1596"/>
      <c r="J2" s="1595"/>
      <c r="K2" s="1596"/>
      <c r="L2" s="1596"/>
      <c r="M2" s="1595"/>
      <c r="N2" s="1596"/>
      <c r="O2" s="1597"/>
    </row>
    <row r="3" spans="1:17" ht="36.75" customHeight="1" thickBot="1" x14ac:dyDescent="0.25">
      <c r="A3" s="1591"/>
      <c r="B3" s="1598" t="s">
        <v>1079</v>
      </c>
      <c r="C3" s="1593"/>
      <c r="D3" s="1593"/>
      <c r="E3" s="1593"/>
      <c r="F3" s="1593"/>
      <c r="G3" s="2306" t="s">
        <v>1080</v>
      </c>
      <c r="H3" s="2307"/>
      <c r="I3" s="2308" t="s">
        <v>1081</v>
      </c>
      <c r="J3" s="2308"/>
      <c r="K3" s="2308"/>
      <c r="L3" s="1596"/>
      <c r="M3" s="1595"/>
      <c r="N3" s="1596"/>
      <c r="O3" s="1597"/>
    </row>
    <row r="4" spans="1:17" s="1607" customFormat="1" ht="36.75" customHeight="1" thickTop="1" x14ac:dyDescent="0.2">
      <c r="A4" s="1599"/>
      <c r="B4" s="1600" t="s">
        <v>1082</v>
      </c>
      <c r="C4" s="1599" t="s">
        <v>1083</v>
      </c>
      <c r="D4" s="1599" t="s">
        <v>1084</v>
      </c>
      <c r="E4" s="1599" t="s">
        <v>1085</v>
      </c>
      <c r="F4" s="1599" t="s">
        <v>1086</v>
      </c>
      <c r="G4" s="1601" t="s">
        <v>1087</v>
      </c>
      <c r="H4" s="1602" t="s">
        <v>591</v>
      </c>
      <c r="I4" s="1679" t="s">
        <v>1088</v>
      </c>
      <c r="J4" s="1680" t="s">
        <v>1089</v>
      </c>
      <c r="K4" s="1603" t="s">
        <v>1090</v>
      </c>
      <c r="L4" s="1604"/>
      <c r="M4" s="1605" t="s">
        <v>1091</v>
      </c>
      <c r="N4" s="1604" t="s">
        <v>1092</v>
      </c>
      <c r="O4" s="1604"/>
      <c r="P4" s="1606"/>
    </row>
    <row r="5" spans="1:17" s="1616" customFormat="1" ht="29.25" customHeight="1" x14ac:dyDescent="0.2">
      <c r="A5" s="1608"/>
      <c r="B5" s="1609" t="s">
        <v>365</v>
      </c>
      <c r="C5" s="1609" t="s">
        <v>366</v>
      </c>
      <c r="D5" s="1609" t="s">
        <v>366</v>
      </c>
      <c r="E5" s="1609">
        <v>1.1000000000000001</v>
      </c>
      <c r="F5" s="1610" t="s">
        <v>667</v>
      </c>
      <c r="G5" s="1609">
        <v>15</v>
      </c>
      <c r="H5" s="1681">
        <v>75600</v>
      </c>
      <c r="I5" s="1609">
        <v>15</v>
      </c>
      <c r="J5" s="1681">
        <v>55829</v>
      </c>
      <c r="K5" s="1614">
        <f>IF(J5="","",IF(D5="No",IF(J5/H5&gt;1.2,1.2,J5/H5),IF(D5="Yes",IF(H5/J5&gt;1.2,1.2,H5/J5))))</f>
        <v>0.73847883597883601</v>
      </c>
      <c r="L5" s="1615"/>
      <c r="M5" s="1688"/>
      <c r="N5" s="1689"/>
      <c r="O5" s="1684"/>
      <c r="P5" s="1684"/>
      <c r="Q5" s="1684"/>
    </row>
    <row r="6" spans="1:17" s="1616" customFormat="1" ht="21.75" customHeight="1" x14ac:dyDescent="0.2">
      <c r="A6" s="1608"/>
      <c r="B6" s="1609" t="s">
        <v>366</v>
      </c>
      <c r="C6" s="1609" t="s">
        <v>365</v>
      </c>
      <c r="D6" s="1609" t="s">
        <v>366</v>
      </c>
      <c r="E6" s="1609">
        <v>1.2</v>
      </c>
      <c r="F6" s="1610" t="s">
        <v>669</v>
      </c>
      <c r="G6" s="1609">
        <v>15</v>
      </c>
      <c r="H6" s="1681">
        <v>679</v>
      </c>
      <c r="I6" s="1609">
        <v>15</v>
      </c>
      <c r="J6" s="1681">
        <v>395</v>
      </c>
      <c r="K6" s="1617">
        <f t="shared" ref="K6:K18" si="0">IF(J6="","",IF(D6="No",IF(J6/H6&gt;1.2,1.2,J6/H6),IF(D6="Yes",IF(H6/J6&gt;1.2,1.2,H6/J6))))</f>
        <v>0.58173784977908694</v>
      </c>
      <c r="L6" s="1615"/>
      <c r="M6" s="1688"/>
      <c r="N6" s="1689"/>
      <c r="O6" s="1684"/>
      <c r="P6" s="1684"/>
      <c r="Q6" s="1684"/>
    </row>
    <row r="7" spans="1:17" s="1616" customFormat="1" ht="42" customHeight="1" x14ac:dyDescent="0.2">
      <c r="A7" s="1608"/>
      <c r="B7" s="1609" t="s">
        <v>365</v>
      </c>
      <c r="C7" s="1609" t="s">
        <v>366</v>
      </c>
      <c r="D7" s="1609" t="s">
        <v>366</v>
      </c>
      <c r="E7" s="1609">
        <v>1.3</v>
      </c>
      <c r="F7" s="1610" t="s">
        <v>670</v>
      </c>
      <c r="G7" s="1609">
        <v>15</v>
      </c>
      <c r="H7" s="1681"/>
      <c r="I7" s="1609">
        <v>15</v>
      </c>
      <c r="J7" s="1681"/>
      <c r="K7" s="1617"/>
      <c r="L7" s="1615"/>
      <c r="M7" s="1688"/>
      <c r="N7" s="1689"/>
      <c r="O7" s="1684"/>
      <c r="P7" s="1684"/>
      <c r="Q7" s="1684"/>
    </row>
    <row r="8" spans="1:17" s="1616" customFormat="1" ht="21.75" customHeight="1" x14ac:dyDescent="0.2">
      <c r="A8" s="1608"/>
      <c r="B8" s="1609" t="s">
        <v>365</v>
      </c>
      <c r="C8" s="1609" t="s">
        <v>366</v>
      </c>
      <c r="D8" s="1609" t="s">
        <v>366</v>
      </c>
      <c r="E8" s="1609">
        <v>1.4</v>
      </c>
      <c r="F8" s="1610" t="s">
        <v>671</v>
      </c>
      <c r="G8" s="1609">
        <v>15</v>
      </c>
      <c r="H8" s="1681">
        <v>21850</v>
      </c>
      <c r="I8" s="1609">
        <v>15</v>
      </c>
      <c r="J8" s="1681">
        <v>22846</v>
      </c>
      <c r="K8" s="1617">
        <f>IF(J8="","",IF(D8="No",IF(J8/H8&gt;1.2,1.2,J8/H8),IF(D8="Yes",IF(H8/J8&gt;1.2,1.2,H8/J8))))</f>
        <v>1.04558352402746</v>
      </c>
      <c r="L8" s="1615"/>
      <c r="M8" s="1688"/>
      <c r="N8" s="1689"/>
      <c r="O8" s="1684"/>
      <c r="P8" s="1684"/>
      <c r="Q8" s="1684"/>
    </row>
    <row r="9" spans="1:17" s="1616" customFormat="1" ht="27" customHeight="1" x14ac:dyDescent="0.2">
      <c r="A9" s="1608"/>
      <c r="B9" s="1609" t="s">
        <v>365</v>
      </c>
      <c r="C9" s="1609" t="s">
        <v>365</v>
      </c>
      <c r="D9" s="1609" t="s">
        <v>366</v>
      </c>
      <c r="E9" s="1609">
        <v>1.5</v>
      </c>
      <c r="F9" s="1610" t="s">
        <v>672</v>
      </c>
      <c r="G9" s="1609">
        <v>15</v>
      </c>
      <c r="H9" s="1681">
        <v>887</v>
      </c>
      <c r="I9" s="1609">
        <v>15</v>
      </c>
      <c r="J9" s="1681">
        <v>816</v>
      </c>
      <c r="K9" s="1617">
        <f t="shared" si="0"/>
        <v>0.91995490417136416</v>
      </c>
      <c r="L9" s="1615"/>
      <c r="M9" s="1688"/>
      <c r="N9" s="1689"/>
      <c r="O9" s="1684"/>
      <c r="P9" s="1684"/>
      <c r="Q9" s="1684"/>
    </row>
    <row r="10" spans="1:17" s="1616" customFormat="1" ht="18" customHeight="1" x14ac:dyDescent="0.2">
      <c r="A10" s="1608"/>
      <c r="B10" s="1609" t="s">
        <v>366</v>
      </c>
      <c r="C10" s="1609" t="s">
        <v>366</v>
      </c>
      <c r="D10" s="1609" t="s">
        <v>366</v>
      </c>
      <c r="E10" s="1609">
        <v>1.6</v>
      </c>
      <c r="F10" s="1610" t="s">
        <v>673</v>
      </c>
      <c r="G10" s="1609">
        <v>15</v>
      </c>
      <c r="H10" s="1681">
        <v>1080</v>
      </c>
      <c r="I10" s="1609">
        <v>15</v>
      </c>
      <c r="J10" s="1681">
        <v>1442</v>
      </c>
      <c r="K10" s="1617">
        <f t="shared" si="0"/>
        <v>1.2</v>
      </c>
      <c r="L10" s="1615"/>
      <c r="M10" s="1688"/>
      <c r="N10" s="1689"/>
      <c r="O10" s="1684"/>
      <c r="P10" s="1684"/>
      <c r="Q10" s="1684"/>
    </row>
    <row r="11" spans="1:17" s="1616" customFormat="1" ht="30" customHeight="1" x14ac:dyDescent="0.2">
      <c r="A11" s="1608"/>
      <c r="B11" s="1609" t="s">
        <v>366</v>
      </c>
      <c r="C11" s="1609" t="s">
        <v>365</v>
      </c>
      <c r="D11" s="1609" t="s">
        <v>366</v>
      </c>
      <c r="E11" s="1609">
        <v>1.7</v>
      </c>
      <c r="F11" s="1610" t="s">
        <v>1093</v>
      </c>
      <c r="G11" s="1609">
        <v>15</v>
      </c>
      <c r="H11" s="1681">
        <v>250</v>
      </c>
      <c r="I11" s="1609">
        <v>15</v>
      </c>
      <c r="J11" s="1681">
        <v>142</v>
      </c>
      <c r="K11" s="1617">
        <f t="shared" si="0"/>
        <v>0.56799999999999995</v>
      </c>
      <c r="L11" s="1615"/>
      <c r="M11" s="1688"/>
      <c r="N11" s="1689"/>
      <c r="O11" s="1684"/>
      <c r="P11" s="1684"/>
      <c r="Q11" s="1684"/>
    </row>
    <row r="12" spans="1:17" s="1616" customFormat="1" ht="32.25" customHeight="1" x14ac:dyDescent="0.2">
      <c r="A12" s="1608"/>
      <c r="B12" s="1609" t="s">
        <v>365</v>
      </c>
      <c r="C12" s="1609" t="s">
        <v>365</v>
      </c>
      <c r="D12" s="1609" t="s">
        <v>366</v>
      </c>
      <c r="E12" s="1609">
        <v>1.8</v>
      </c>
      <c r="F12" s="1610" t="s">
        <v>674</v>
      </c>
      <c r="G12" s="1609">
        <v>15</v>
      </c>
      <c r="H12" s="1681">
        <v>17000</v>
      </c>
      <c r="I12" s="1609">
        <v>15</v>
      </c>
      <c r="J12" s="1681">
        <v>17461</v>
      </c>
      <c r="K12" s="1617">
        <f t="shared" si="0"/>
        <v>1.0271176470588235</v>
      </c>
      <c r="L12" s="1615"/>
      <c r="M12" s="1688"/>
      <c r="N12" s="1689"/>
      <c r="O12" s="1684"/>
      <c r="P12" s="1684"/>
      <c r="Q12" s="1684"/>
    </row>
    <row r="13" spans="1:17" s="1616" customFormat="1" ht="30" customHeight="1" x14ac:dyDescent="0.2">
      <c r="A13" s="1608"/>
      <c r="B13" s="1609" t="s">
        <v>365</v>
      </c>
      <c r="C13" s="1609" t="s">
        <v>365</v>
      </c>
      <c r="D13" s="1609" t="s">
        <v>366</v>
      </c>
      <c r="E13" s="1609">
        <v>1.9</v>
      </c>
      <c r="F13" s="1610" t="s">
        <v>675</v>
      </c>
      <c r="G13" s="1609">
        <v>15</v>
      </c>
      <c r="H13" s="1681">
        <v>7500</v>
      </c>
      <c r="I13" s="1609">
        <v>15</v>
      </c>
      <c r="J13" s="1681">
        <v>6434</v>
      </c>
      <c r="K13" s="1617">
        <f t="shared" si="0"/>
        <v>0.85786666666666667</v>
      </c>
      <c r="L13" s="1615"/>
      <c r="M13" s="1688"/>
      <c r="N13" s="1689"/>
      <c r="O13" s="1684"/>
      <c r="P13" s="1684"/>
      <c r="Q13" s="1684"/>
    </row>
    <row r="14" spans="1:17" s="1616" customFormat="1" ht="30" customHeight="1" x14ac:dyDescent="0.2">
      <c r="A14" s="1608"/>
      <c r="B14" s="1609" t="s">
        <v>365</v>
      </c>
      <c r="C14" s="1609" t="s">
        <v>366</v>
      </c>
      <c r="D14" s="1609" t="s">
        <v>366</v>
      </c>
      <c r="E14" s="1609">
        <v>2.2000000000000002</v>
      </c>
      <c r="F14" s="1610" t="s">
        <v>676</v>
      </c>
      <c r="G14" s="1609">
        <v>15</v>
      </c>
      <c r="H14" s="1681">
        <v>28000</v>
      </c>
      <c r="I14" s="1609">
        <v>15</v>
      </c>
      <c r="J14" s="1681">
        <v>42230</v>
      </c>
      <c r="K14" s="1617">
        <f t="shared" si="0"/>
        <v>1.2</v>
      </c>
      <c r="L14" s="1615"/>
      <c r="M14" s="1685"/>
      <c r="N14" s="1684"/>
      <c r="O14" s="1684"/>
      <c r="P14" s="1684"/>
      <c r="Q14" s="1684"/>
    </row>
    <row r="15" spans="1:17" s="1616" customFormat="1" ht="30.75" customHeight="1" x14ac:dyDescent="0.2">
      <c r="A15" s="1608"/>
      <c r="B15" s="1609" t="s">
        <v>365</v>
      </c>
      <c r="C15" s="1609" t="s">
        <v>366</v>
      </c>
      <c r="D15" s="1609" t="s">
        <v>365</v>
      </c>
      <c r="E15" s="1609">
        <v>3.1</v>
      </c>
      <c r="F15" s="1610" t="s">
        <v>1094</v>
      </c>
      <c r="G15" s="1609">
        <v>15</v>
      </c>
      <c r="H15" s="1681">
        <v>85</v>
      </c>
      <c r="I15" s="1609">
        <v>15</v>
      </c>
      <c r="J15" s="1681">
        <v>63</v>
      </c>
      <c r="K15" s="1617">
        <f t="shared" si="0"/>
        <v>1.2</v>
      </c>
      <c r="L15" s="1615"/>
      <c r="M15" s="1685"/>
      <c r="N15" s="1684"/>
      <c r="O15" s="1684"/>
      <c r="P15" s="1684"/>
      <c r="Q15" s="1684"/>
    </row>
    <row r="16" spans="1:17" s="1616" customFormat="1" ht="18" customHeight="1" x14ac:dyDescent="0.2">
      <c r="A16" s="1608"/>
      <c r="B16" s="1611"/>
      <c r="C16" s="1611"/>
      <c r="D16" s="1611"/>
      <c r="E16" s="1611"/>
      <c r="F16" s="1611"/>
      <c r="G16" s="1611"/>
      <c r="H16" s="1612"/>
      <c r="I16" s="1611"/>
      <c r="J16" s="1612"/>
      <c r="K16" s="1617" t="str">
        <f t="shared" si="0"/>
        <v/>
      </c>
      <c r="L16" s="1615"/>
      <c r="M16" s="1686"/>
      <c r="N16" s="1618"/>
      <c r="O16" s="1618"/>
      <c r="P16" s="1618"/>
      <c r="Q16" s="1687"/>
    </row>
    <row r="17" spans="1:16" s="1616" customFormat="1" ht="3.75" customHeight="1" x14ac:dyDescent="0.2">
      <c r="A17" s="1608"/>
      <c r="B17" s="1611"/>
      <c r="C17" s="1611"/>
      <c r="D17" s="1611"/>
      <c r="E17" s="1611"/>
      <c r="F17" s="1611"/>
      <c r="G17" s="1611"/>
      <c r="H17" s="1612"/>
      <c r="I17" s="1613"/>
      <c r="J17" s="1612"/>
      <c r="K17" s="1617" t="str">
        <f t="shared" si="0"/>
        <v/>
      </c>
      <c r="L17" s="1615"/>
      <c r="M17" s="1619"/>
      <c r="N17" s="1615"/>
      <c r="O17" s="1615"/>
      <c r="P17" s="1620"/>
    </row>
    <row r="18" spans="1:16" s="1616" customFormat="1" ht="18" hidden="1" customHeight="1" x14ac:dyDescent="0.2">
      <c r="A18" s="1608"/>
      <c r="B18" s="1611"/>
      <c r="C18" s="1611"/>
      <c r="D18" s="1611"/>
      <c r="E18" s="1611"/>
      <c r="F18" s="1611"/>
      <c r="G18" s="1611"/>
      <c r="H18" s="1612"/>
      <c r="I18" s="1613"/>
      <c r="J18" s="1612"/>
      <c r="K18" s="1621" t="str">
        <f t="shared" si="0"/>
        <v/>
      </c>
      <c r="L18" s="1615"/>
      <c r="M18" s="1619"/>
      <c r="N18" s="1615"/>
      <c r="O18" s="1615"/>
      <c r="P18" s="1620"/>
    </row>
    <row r="19" spans="1:16" s="1616" customFormat="1" ht="18" hidden="1" customHeight="1" x14ac:dyDescent="0.2">
      <c r="A19" s="1608"/>
      <c r="B19" s="1611"/>
      <c r="C19" s="1611"/>
      <c r="D19" s="1611"/>
      <c r="E19" s="1611"/>
      <c r="F19" s="1611"/>
      <c r="G19" s="1611"/>
      <c r="H19" s="1612"/>
      <c r="I19" s="1613"/>
      <c r="J19" s="1612"/>
      <c r="K19" s="1621" t="str">
        <f>IF(J19="","",IF(D19="No",IF(J19/H19&gt;1.2,1.2,J19/H19),IF(D19="Yes",IF(H19/J19&gt;1.2,1.2,H19/J19))))</f>
        <v/>
      </c>
      <c r="L19" s="1615"/>
      <c r="M19" s="1619"/>
      <c r="N19" s="1615"/>
      <c r="O19" s="1615"/>
      <c r="P19" s="1620"/>
    </row>
    <row r="20" spans="1:16" s="1616" customFormat="1" ht="18" hidden="1" customHeight="1" x14ac:dyDescent="0.2">
      <c r="A20" s="1608"/>
      <c r="B20" s="1611"/>
      <c r="C20" s="1611"/>
      <c r="D20" s="1611"/>
      <c r="E20" s="1611"/>
      <c r="F20" s="1611"/>
      <c r="G20" s="1611"/>
      <c r="H20" s="1612"/>
      <c r="I20" s="1613"/>
      <c r="J20" s="1612"/>
      <c r="K20" s="1621" t="str">
        <f t="shared" ref="K20:K40" si="1">IF(J20="","",IF(D20="No",IF(J20/H20&gt;1.2,1.2,J20/H20),IF(D20="Yes",IF(H20/J20&gt;1.2,1.2,H20/J20))))</f>
        <v/>
      </c>
      <c r="L20" s="1615"/>
      <c r="M20" s="1619"/>
      <c r="N20" s="1615"/>
      <c r="O20" s="1615"/>
      <c r="P20" s="1620"/>
    </row>
    <row r="21" spans="1:16" s="1616" customFormat="1" ht="18" hidden="1" customHeight="1" x14ac:dyDescent="0.2">
      <c r="A21" s="1608"/>
      <c r="B21" s="1611"/>
      <c r="C21" s="1611"/>
      <c r="D21" s="1611"/>
      <c r="E21" s="1611"/>
      <c r="F21" s="1611"/>
      <c r="G21" s="1611"/>
      <c r="H21" s="1612"/>
      <c r="I21" s="1613"/>
      <c r="J21" s="1612"/>
      <c r="K21" s="1621" t="str">
        <f t="shared" si="1"/>
        <v/>
      </c>
      <c r="L21" s="1615"/>
      <c r="M21" s="1619"/>
      <c r="N21" s="1615"/>
      <c r="O21" s="1615"/>
      <c r="P21" s="1620"/>
    </row>
    <row r="22" spans="1:16" s="1616" customFormat="1" ht="18" hidden="1" customHeight="1" x14ac:dyDescent="0.2">
      <c r="A22" s="1608"/>
      <c r="B22" s="1611"/>
      <c r="C22" s="1611"/>
      <c r="D22" s="1611"/>
      <c r="E22" s="1611"/>
      <c r="F22" s="1611"/>
      <c r="G22" s="1611"/>
      <c r="H22" s="1612"/>
      <c r="I22" s="1613"/>
      <c r="J22" s="1612"/>
      <c r="K22" s="1621" t="str">
        <f t="shared" si="1"/>
        <v/>
      </c>
      <c r="L22" s="1615"/>
      <c r="M22" s="1619"/>
      <c r="N22" s="1615"/>
      <c r="O22" s="1615"/>
      <c r="P22" s="1620"/>
    </row>
    <row r="23" spans="1:16" s="1616" customFormat="1" ht="18" hidden="1" customHeight="1" x14ac:dyDescent="0.2">
      <c r="A23" s="1608"/>
      <c r="B23" s="1611"/>
      <c r="C23" s="1611"/>
      <c r="D23" s="1611"/>
      <c r="E23" s="1611"/>
      <c r="F23" s="1611"/>
      <c r="G23" s="1611"/>
      <c r="H23" s="1612"/>
      <c r="I23" s="1613"/>
      <c r="J23" s="1612"/>
      <c r="K23" s="1621" t="str">
        <f t="shared" si="1"/>
        <v/>
      </c>
      <c r="L23" s="1615"/>
      <c r="M23" s="1619"/>
      <c r="N23" s="1615"/>
      <c r="O23" s="1615"/>
      <c r="P23" s="1620"/>
    </row>
    <row r="24" spans="1:16" s="1616" customFormat="1" ht="18" hidden="1" customHeight="1" x14ac:dyDescent="0.2">
      <c r="A24" s="1608"/>
      <c r="B24" s="1611"/>
      <c r="C24" s="1611"/>
      <c r="D24" s="1611"/>
      <c r="E24" s="1611"/>
      <c r="F24" s="1611"/>
      <c r="G24" s="1611"/>
      <c r="H24" s="1612"/>
      <c r="I24" s="1613"/>
      <c r="J24" s="1612"/>
      <c r="K24" s="1621" t="str">
        <f t="shared" si="1"/>
        <v/>
      </c>
      <c r="L24" s="1615"/>
      <c r="M24" s="1619"/>
      <c r="N24" s="1615"/>
      <c r="O24" s="1615"/>
      <c r="P24" s="1620"/>
    </row>
    <row r="25" spans="1:16" s="1616" customFormat="1" ht="18" hidden="1" customHeight="1" x14ac:dyDescent="0.2">
      <c r="A25" s="1608"/>
      <c r="B25" s="1611"/>
      <c r="C25" s="1611"/>
      <c r="D25" s="1611"/>
      <c r="E25" s="1611"/>
      <c r="F25" s="1611"/>
      <c r="G25" s="1611"/>
      <c r="H25" s="1612"/>
      <c r="I25" s="1613"/>
      <c r="J25" s="1612"/>
      <c r="K25" s="1621" t="str">
        <f t="shared" si="1"/>
        <v/>
      </c>
      <c r="L25" s="1615"/>
      <c r="M25" s="1619"/>
      <c r="N25" s="1615"/>
      <c r="O25" s="1615"/>
      <c r="P25" s="1620"/>
    </row>
    <row r="26" spans="1:16" s="1616" customFormat="1" ht="9" hidden="1" customHeight="1" x14ac:dyDescent="0.2">
      <c r="A26" s="1608"/>
      <c r="B26" s="1611"/>
      <c r="C26" s="1611"/>
      <c r="D26" s="1611"/>
      <c r="E26" s="1611"/>
      <c r="F26" s="1611"/>
      <c r="G26" s="1611"/>
      <c r="H26" s="1612"/>
      <c r="I26" s="1613"/>
      <c r="J26" s="1612"/>
      <c r="K26" s="1621" t="str">
        <f t="shared" si="1"/>
        <v/>
      </c>
      <c r="L26" s="1615"/>
      <c r="M26" s="1619"/>
      <c r="N26" s="1615"/>
      <c r="O26" s="1615"/>
      <c r="P26" s="1620"/>
    </row>
    <row r="27" spans="1:16" s="1616" customFormat="1" ht="18" hidden="1" customHeight="1" x14ac:dyDescent="0.2">
      <c r="A27" s="1608"/>
      <c r="B27" s="1611"/>
      <c r="C27" s="1611"/>
      <c r="D27" s="1611"/>
      <c r="E27" s="1611"/>
      <c r="F27" s="1611"/>
      <c r="G27" s="1611"/>
      <c r="H27" s="1612"/>
      <c r="I27" s="1613"/>
      <c r="J27" s="1612"/>
      <c r="K27" s="1621" t="str">
        <f>IF(J27="","",IF(D27="No",IF(J27/H27&gt;1.2,1.2,J27/H27),IF(D27="Yes",IF(H27/J27&gt;1.2,1.2,H27/J27))))</f>
        <v/>
      </c>
      <c r="L27" s="1615"/>
      <c r="M27" s="1619"/>
      <c r="N27" s="1615"/>
      <c r="O27" s="1615"/>
      <c r="P27" s="1620"/>
    </row>
    <row r="28" spans="1:16" s="1616" customFormat="1" ht="18" hidden="1" customHeight="1" x14ac:dyDescent="0.2">
      <c r="A28" s="1608"/>
      <c r="B28" s="1611"/>
      <c r="C28" s="1611"/>
      <c r="D28" s="1611"/>
      <c r="E28" s="1611"/>
      <c r="F28" s="1611"/>
      <c r="G28" s="1611"/>
      <c r="H28" s="1612"/>
      <c r="I28" s="1613"/>
      <c r="J28" s="1612"/>
      <c r="K28" s="1621" t="str">
        <f>IF(J28="","",IF(D28="No",IF(J28/H28&gt;1.2,1.2,J28/H28),IF(D28="Yes",IF(H28/J28&gt;1.2,1.2,H28/J28))))</f>
        <v/>
      </c>
      <c r="L28" s="1615"/>
      <c r="M28" s="1619"/>
      <c r="N28" s="1615"/>
      <c r="O28" s="1615"/>
      <c r="P28" s="1620"/>
    </row>
    <row r="29" spans="1:16" s="1616" customFormat="1" ht="18" hidden="1" customHeight="1" x14ac:dyDescent="0.2">
      <c r="A29" s="1608"/>
      <c r="B29" s="1611"/>
      <c r="C29" s="1611"/>
      <c r="D29" s="1611"/>
      <c r="E29" s="1611"/>
      <c r="F29" s="1611"/>
      <c r="G29" s="1611"/>
      <c r="H29" s="1612"/>
      <c r="I29" s="1613"/>
      <c r="J29" s="1612"/>
      <c r="K29" s="1621" t="str">
        <f>IF(J29="","",IF(D29="No",IF(J29/H29&gt;1.2,1.2,J29/H29),IF(D29="Yes",IF(H29/J29&gt;1.2,1.2,H29/J29))))</f>
        <v/>
      </c>
      <c r="L29" s="1615"/>
      <c r="M29" s="1619"/>
      <c r="N29" s="1615"/>
      <c r="O29" s="1615"/>
      <c r="P29" s="1620"/>
    </row>
    <row r="30" spans="1:16" s="1616" customFormat="1" ht="18" hidden="1" customHeight="1" x14ac:dyDescent="0.2">
      <c r="A30" s="1608"/>
      <c r="B30" s="1611"/>
      <c r="C30" s="1611"/>
      <c r="D30" s="1611"/>
      <c r="E30" s="1611"/>
      <c r="F30" s="1611"/>
      <c r="G30" s="1611"/>
      <c r="H30" s="1612"/>
      <c r="I30" s="1613"/>
      <c r="J30" s="1612"/>
      <c r="K30" s="1621" t="str">
        <f>IF(J30="","",IF(D30="No",IF(J30/H30&gt;1.2,1.2,J30/H30),IF(D30="Yes",IF(H30/J30&gt;1.2,1.2,H30/J30))))</f>
        <v/>
      </c>
      <c r="L30" s="1615"/>
      <c r="M30" s="1619"/>
      <c r="N30" s="1615"/>
      <c r="O30" s="1615"/>
      <c r="P30" s="1620"/>
    </row>
    <row r="31" spans="1:16" s="1616" customFormat="1" ht="18" hidden="1" customHeight="1" x14ac:dyDescent="0.2">
      <c r="A31" s="1608"/>
      <c r="B31" s="1611"/>
      <c r="C31" s="1611"/>
      <c r="D31" s="1611"/>
      <c r="E31" s="1611"/>
      <c r="F31" s="1611"/>
      <c r="G31" s="1611"/>
      <c r="H31" s="1612"/>
      <c r="I31" s="1613"/>
      <c r="J31" s="1612"/>
      <c r="K31" s="1621" t="str">
        <f t="shared" si="1"/>
        <v/>
      </c>
      <c r="L31" s="1615"/>
      <c r="M31" s="1619"/>
      <c r="N31" s="1615"/>
      <c r="O31" s="1615"/>
      <c r="P31" s="1620"/>
    </row>
    <row r="32" spans="1:16" s="1616" customFormat="1" ht="18" hidden="1" customHeight="1" x14ac:dyDescent="0.2">
      <c r="A32" s="1608"/>
      <c r="B32" s="1611"/>
      <c r="C32" s="1611"/>
      <c r="D32" s="1611"/>
      <c r="E32" s="1611"/>
      <c r="F32" s="1611"/>
      <c r="G32" s="1611"/>
      <c r="H32" s="1612"/>
      <c r="I32" s="1613"/>
      <c r="J32" s="1612"/>
      <c r="K32" s="1621" t="str">
        <f t="shared" si="1"/>
        <v/>
      </c>
      <c r="L32" s="1615"/>
      <c r="M32" s="1619"/>
      <c r="N32" s="1615"/>
      <c r="O32" s="1615"/>
      <c r="P32" s="1620"/>
    </row>
    <row r="33" spans="1:16" s="1616" customFormat="1" ht="18" hidden="1" customHeight="1" x14ac:dyDescent="0.2">
      <c r="A33" s="1608"/>
      <c r="B33" s="1611"/>
      <c r="C33" s="1611"/>
      <c r="D33" s="1611"/>
      <c r="E33" s="1611"/>
      <c r="F33" s="1611"/>
      <c r="G33" s="1611"/>
      <c r="H33" s="1612"/>
      <c r="I33" s="1613"/>
      <c r="J33" s="1612"/>
      <c r="K33" s="1621" t="str">
        <f t="shared" si="1"/>
        <v/>
      </c>
      <c r="L33" s="1615"/>
      <c r="M33" s="1619"/>
      <c r="N33" s="1615"/>
      <c r="O33" s="1615"/>
      <c r="P33" s="1620"/>
    </row>
    <row r="34" spans="1:16" s="1616" customFormat="1" ht="18" hidden="1" customHeight="1" x14ac:dyDescent="0.2">
      <c r="A34" s="1608"/>
      <c r="B34" s="1611"/>
      <c r="C34" s="1611"/>
      <c r="D34" s="1611"/>
      <c r="E34" s="1611"/>
      <c r="F34" s="1611"/>
      <c r="G34" s="1611"/>
      <c r="H34" s="1612"/>
      <c r="I34" s="1613"/>
      <c r="J34" s="1612"/>
      <c r="K34" s="1621" t="str">
        <f>IF(J34="","",IF(D34="No",IF(J34/H34&gt;1.2,1.2,J34/H34),IF(D34="Yes",IF(H34/J34&gt;1.2,1.2,H34/J34))))</f>
        <v/>
      </c>
      <c r="L34" s="1615"/>
      <c r="M34" s="1619"/>
      <c r="N34" s="1615"/>
      <c r="O34" s="1615"/>
      <c r="P34" s="1620"/>
    </row>
    <row r="35" spans="1:16" s="1616" customFormat="1" ht="18" hidden="1" customHeight="1" x14ac:dyDescent="0.2">
      <c r="A35" s="1608"/>
      <c r="B35" s="1611"/>
      <c r="C35" s="1611"/>
      <c r="D35" s="1611"/>
      <c r="E35" s="1611"/>
      <c r="F35" s="1611"/>
      <c r="G35" s="1611"/>
      <c r="H35" s="1612"/>
      <c r="I35" s="1613"/>
      <c r="J35" s="1612"/>
      <c r="K35" s="1621" t="str">
        <f t="shared" si="1"/>
        <v/>
      </c>
      <c r="L35" s="1615"/>
      <c r="M35" s="1619"/>
      <c r="N35" s="1615"/>
      <c r="O35" s="1615"/>
      <c r="P35" s="1620"/>
    </row>
    <row r="36" spans="1:16" s="1616" customFormat="1" ht="18" hidden="1" customHeight="1" x14ac:dyDescent="0.2">
      <c r="A36" s="1608"/>
      <c r="B36" s="1611"/>
      <c r="C36" s="1611"/>
      <c r="D36" s="1611"/>
      <c r="E36" s="1611"/>
      <c r="F36" s="1611"/>
      <c r="G36" s="1611"/>
      <c r="H36" s="1612"/>
      <c r="I36" s="1613"/>
      <c r="J36" s="1612"/>
      <c r="K36" s="1621" t="str">
        <f t="shared" si="1"/>
        <v/>
      </c>
      <c r="L36" s="1615"/>
      <c r="M36" s="1619"/>
      <c r="N36" s="1615"/>
      <c r="O36" s="1615"/>
      <c r="P36" s="1620"/>
    </row>
    <row r="37" spans="1:16" s="1616" customFormat="1" ht="18" hidden="1" customHeight="1" x14ac:dyDescent="0.2">
      <c r="A37" s="1608"/>
      <c r="B37" s="1611"/>
      <c r="C37" s="1611"/>
      <c r="D37" s="1611"/>
      <c r="E37" s="1611"/>
      <c r="F37" s="1611"/>
      <c r="G37" s="1611"/>
      <c r="H37" s="1612"/>
      <c r="I37" s="1613"/>
      <c r="J37" s="1612"/>
      <c r="K37" s="1621" t="str">
        <f t="shared" si="1"/>
        <v/>
      </c>
      <c r="L37" s="1615"/>
      <c r="M37" s="1619"/>
      <c r="N37" s="1615"/>
      <c r="O37" s="1615"/>
      <c r="P37" s="1620"/>
    </row>
    <row r="38" spans="1:16" s="1616" customFormat="1" ht="18" hidden="1" customHeight="1" x14ac:dyDescent="0.2">
      <c r="A38" s="1608"/>
      <c r="B38" s="1611"/>
      <c r="C38" s="1611"/>
      <c r="D38" s="1611"/>
      <c r="E38" s="1611"/>
      <c r="F38" s="1611"/>
      <c r="G38" s="1611"/>
      <c r="H38" s="1612"/>
      <c r="I38" s="1613"/>
      <c r="J38" s="1612"/>
      <c r="K38" s="1621" t="str">
        <f t="shared" si="1"/>
        <v/>
      </c>
      <c r="L38" s="1615"/>
      <c r="M38" s="1619"/>
      <c r="N38" s="1615"/>
      <c r="O38" s="1615"/>
      <c r="P38" s="1620"/>
    </row>
    <row r="39" spans="1:16" s="1616" customFormat="1" ht="18" hidden="1" customHeight="1" x14ac:dyDescent="0.2">
      <c r="A39" s="1608"/>
      <c r="B39" s="1611"/>
      <c r="C39" s="1611"/>
      <c r="D39" s="1611"/>
      <c r="E39" s="1611"/>
      <c r="F39" s="1611"/>
      <c r="G39" s="1611"/>
      <c r="H39" s="1612"/>
      <c r="I39" s="1613"/>
      <c r="J39" s="1612"/>
      <c r="K39" s="1621" t="str">
        <f t="shared" si="1"/>
        <v/>
      </c>
      <c r="L39" s="1615"/>
      <c r="M39" s="1619"/>
      <c r="N39" s="1615"/>
      <c r="O39" s="1615"/>
      <c r="P39" s="1620"/>
    </row>
    <row r="40" spans="1:16" s="1616" customFormat="1" ht="18" hidden="1" customHeight="1" x14ac:dyDescent="0.2">
      <c r="A40" s="1608"/>
      <c r="B40" s="1611"/>
      <c r="C40" s="1611"/>
      <c r="D40" s="1611"/>
      <c r="E40" s="1611"/>
      <c r="F40" s="1611"/>
      <c r="G40" s="1611"/>
      <c r="H40" s="1612"/>
      <c r="I40" s="1613"/>
      <c r="J40" s="1612"/>
      <c r="K40" s="1621" t="str">
        <f t="shared" si="1"/>
        <v/>
      </c>
      <c r="L40" s="1615"/>
      <c r="M40" s="1619"/>
      <c r="N40" s="1615"/>
      <c r="O40" s="1615"/>
      <c r="P40" s="1620"/>
    </row>
    <row r="41" spans="1:16" s="1616" customFormat="1" ht="3.75" customHeight="1" x14ac:dyDescent="0.2">
      <c r="A41" s="1608"/>
      <c r="B41" s="1622"/>
      <c r="C41" s="1623"/>
      <c r="D41" s="1623"/>
      <c r="E41" s="1623"/>
      <c r="F41" s="1623"/>
      <c r="G41" s="1615"/>
      <c r="H41" s="1619"/>
      <c r="I41" s="1615"/>
      <c r="J41" s="1619"/>
      <c r="K41" s="1615"/>
      <c r="L41" s="1615"/>
      <c r="M41" s="1619"/>
      <c r="N41" s="1615"/>
      <c r="O41" s="1620"/>
    </row>
    <row r="42" spans="1:16" ht="19.5" customHeight="1" x14ac:dyDescent="0.2">
      <c r="A42" s="1597" t="s">
        <v>1095</v>
      </c>
      <c r="B42" s="1624" t="s">
        <v>1096</v>
      </c>
      <c r="C42" s="1597"/>
      <c r="D42" s="1597"/>
      <c r="E42" s="1597"/>
      <c r="F42" s="1597"/>
      <c r="G42" s="1625"/>
      <c r="H42" s="1626"/>
      <c r="I42" s="1625"/>
      <c r="J42" s="1626"/>
      <c r="K42" s="1596"/>
      <c r="L42" s="1596"/>
      <c r="M42" s="1595"/>
      <c r="N42" s="1596"/>
      <c r="O42" s="1597"/>
    </row>
    <row r="43" spans="1:16" ht="16.5" customHeight="1" x14ac:dyDescent="0.2">
      <c r="A43" s="1624"/>
      <c r="B43" s="1597"/>
      <c r="C43" s="2309" t="s">
        <v>1097</v>
      </c>
      <c r="D43" s="2309"/>
      <c r="F43" s="1627" t="s">
        <v>1098</v>
      </c>
      <c r="G43" s="1627"/>
      <c r="H43" s="1628"/>
      <c r="I43" s="1627"/>
      <c r="J43" s="1628"/>
      <c r="K43" s="1627"/>
      <c r="L43" s="1627"/>
      <c r="O43" s="1597"/>
    </row>
    <row r="44" spans="1:16" ht="27.75" customHeight="1" thickBot="1" x14ac:dyDescent="0.25">
      <c r="A44" s="1624"/>
      <c r="B44" s="1597"/>
      <c r="C44" s="1597"/>
      <c r="D44" s="1597"/>
      <c r="E44" s="1597"/>
      <c r="F44" s="1625"/>
      <c r="G44" s="1625"/>
      <c r="H44" s="1626"/>
      <c r="I44" s="1625"/>
      <c r="J44" s="1626"/>
      <c r="K44" s="1596"/>
      <c r="L44" s="1596"/>
      <c r="N44" s="1596"/>
      <c r="O44" s="1597"/>
    </row>
    <row r="45" spans="1:16" ht="22.5" customHeight="1" thickBot="1" x14ac:dyDescent="0.25">
      <c r="A45" s="1597"/>
      <c r="B45" s="2310" t="s">
        <v>1099</v>
      </c>
      <c r="C45" s="2311"/>
      <c r="D45" s="2312"/>
      <c r="E45" s="1629"/>
      <c r="F45" s="1630"/>
      <c r="G45" s="2300" t="s">
        <v>1100</v>
      </c>
      <c r="H45" s="2313"/>
      <c r="I45" s="2313"/>
      <c r="J45" s="2313"/>
      <c r="K45" s="2314"/>
    </row>
    <row r="46" spans="1:16" ht="22.5" customHeight="1" thickBot="1" x14ac:dyDescent="0.25">
      <c r="A46" s="1596"/>
      <c r="B46" s="2298" t="s">
        <v>252</v>
      </c>
      <c r="C46" s="2299"/>
      <c r="D46" s="1631" t="s">
        <v>1101</v>
      </c>
      <c r="E46" s="1625"/>
      <c r="F46" s="1632" t="s">
        <v>1102</v>
      </c>
      <c r="G46" s="1633" t="s">
        <v>252</v>
      </c>
      <c r="H46" s="1634" t="s">
        <v>253</v>
      </c>
      <c r="I46" s="1635" t="s">
        <v>254</v>
      </c>
      <c r="J46" s="1634" t="s">
        <v>1103</v>
      </c>
      <c r="K46" s="1636" t="s">
        <v>256</v>
      </c>
    </row>
    <row r="47" spans="1:16" ht="22.5" customHeight="1" x14ac:dyDescent="0.2">
      <c r="A47" s="1596"/>
      <c r="B47" s="2289" t="s">
        <v>253</v>
      </c>
      <c r="C47" s="2290"/>
      <c r="D47" s="1637" t="s">
        <v>1104</v>
      </c>
      <c r="E47" s="1625"/>
      <c r="F47" s="1638" t="s">
        <v>252</v>
      </c>
      <c r="G47" s="1639" t="s">
        <v>252</v>
      </c>
      <c r="H47" s="1640" t="s">
        <v>252</v>
      </c>
      <c r="I47" s="1641" t="s">
        <v>253</v>
      </c>
      <c r="J47" s="1642" t="s">
        <v>253</v>
      </c>
      <c r="K47" s="1643" t="s">
        <v>253</v>
      </c>
    </row>
    <row r="48" spans="1:16" ht="22.5" customHeight="1" x14ac:dyDescent="0.2">
      <c r="A48" s="1596"/>
      <c r="B48" s="2289" t="s">
        <v>254</v>
      </c>
      <c r="C48" s="2290"/>
      <c r="D48" s="1637" t="s">
        <v>1105</v>
      </c>
      <c r="E48" s="1625"/>
      <c r="F48" s="1644" t="s">
        <v>253</v>
      </c>
      <c r="G48" s="1645" t="s">
        <v>253</v>
      </c>
      <c r="H48" s="1646" t="s">
        <v>253</v>
      </c>
      <c r="I48" s="1647" t="s">
        <v>253</v>
      </c>
      <c r="J48" s="1646" t="s">
        <v>254</v>
      </c>
      <c r="K48" s="1648" t="s">
        <v>254</v>
      </c>
    </row>
    <row r="49" spans="1:13" ht="22.5" customHeight="1" x14ac:dyDescent="0.2">
      <c r="A49" s="1596"/>
      <c r="B49" s="2289" t="s">
        <v>1103</v>
      </c>
      <c r="C49" s="2290"/>
      <c r="D49" s="1637" t="s">
        <v>1106</v>
      </c>
      <c r="E49" s="1625"/>
      <c r="F49" s="1644" t="s">
        <v>254</v>
      </c>
      <c r="G49" s="1645" t="s">
        <v>253</v>
      </c>
      <c r="H49" s="1646" t="s">
        <v>254</v>
      </c>
      <c r="I49" s="1647" t="s">
        <v>254</v>
      </c>
      <c r="J49" s="1646" t="s">
        <v>254</v>
      </c>
      <c r="K49" s="1648" t="s">
        <v>1103</v>
      </c>
    </row>
    <row r="50" spans="1:13" ht="30" customHeight="1" thickBot="1" x14ac:dyDescent="0.25">
      <c r="A50" s="1596"/>
      <c r="B50" s="2281" t="s">
        <v>256</v>
      </c>
      <c r="C50" s="2282"/>
      <c r="D50" s="1649" t="s">
        <v>1107</v>
      </c>
      <c r="E50" s="1625"/>
      <c r="F50" s="1644" t="s">
        <v>1103</v>
      </c>
      <c r="G50" s="1645" t="s">
        <v>254</v>
      </c>
      <c r="H50" s="1646" t="s">
        <v>254</v>
      </c>
      <c r="I50" s="1647" t="s">
        <v>1103</v>
      </c>
      <c r="J50" s="1646" t="s">
        <v>1103</v>
      </c>
      <c r="K50" s="1648" t="s">
        <v>1103</v>
      </c>
    </row>
    <row r="51" spans="1:13" ht="19.5" customHeight="1" x14ac:dyDescent="0.2">
      <c r="A51" s="1596"/>
      <c r="B51" s="2300" t="s">
        <v>1108</v>
      </c>
      <c r="C51" s="2301"/>
      <c r="D51" s="1631">
        <f>COUNTIFS(B5:B13,"=Yes",C5:C13,"=Yes")</f>
        <v>3</v>
      </c>
      <c r="E51" s="1625"/>
      <c r="F51" s="1650"/>
      <c r="G51" s="1651"/>
      <c r="H51" s="1652"/>
      <c r="I51" s="1653"/>
      <c r="J51" s="1652"/>
      <c r="K51" s="1654"/>
    </row>
    <row r="52" spans="1:13" ht="21.75" customHeight="1" thickBot="1" x14ac:dyDescent="0.25">
      <c r="A52" s="1596"/>
      <c r="B52" s="2302" t="s">
        <v>1109</v>
      </c>
      <c r="C52" s="2303"/>
      <c r="D52" s="1649">
        <f>COUNTIFS(B5:B13,"=No", C5:C13,"=Yes")</f>
        <v>2</v>
      </c>
      <c r="E52" s="1625"/>
      <c r="F52" s="1650"/>
      <c r="G52" s="1651"/>
      <c r="H52" s="1652"/>
      <c r="I52" s="1653"/>
      <c r="J52" s="1652"/>
      <c r="K52" s="1654"/>
    </row>
    <row r="53" spans="1:13" ht="22.5" customHeight="1" thickBot="1" x14ac:dyDescent="0.25">
      <c r="A53" s="1596"/>
      <c r="B53" s="2300" t="s">
        <v>1110</v>
      </c>
      <c r="C53" s="2301"/>
      <c r="D53" s="1655">
        <f>IF(K5="","",IF(D51=0,"0",AVERAGEIFS(K5:K40,C5:C40,"=Yes",B5:B40,"=Yes")))</f>
        <v>0.93497973929895151</v>
      </c>
      <c r="E53" s="1656"/>
      <c r="F53" s="1657" t="s">
        <v>256</v>
      </c>
      <c r="G53" s="1658" t="s">
        <v>1103</v>
      </c>
      <c r="H53" s="1659" t="s">
        <v>1103</v>
      </c>
      <c r="I53" s="1660" t="s">
        <v>1103</v>
      </c>
      <c r="J53" s="1659" t="s">
        <v>256</v>
      </c>
      <c r="K53" s="1661" t="s">
        <v>256</v>
      </c>
    </row>
    <row r="54" spans="1:13" ht="22.5" customHeight="1" x14ac:dyDescent="0.2">
      <c r="A54" s="1596"/>
      <c r="B54" s="2304" t="s">
        <v>1111</v>
      </c>
      <c r="C54" s="2305"/>
      <c r="D54" s="1662">
        <f>SUMIFS(K5:K40,B5:B40,"=Yes",C5:C40,"=No")</f>
        <v>4.1840623600062958</v>
      </c>
      <c r="E54" s="1663"/>
    </row>
    <row r="55" spans="1:13" ht="23.25" customHeight="1" x14ac:dyDescent="0.2">
      <c r="A55" s="1596"/>
      <c r="B55" s="2304" t="s">
        <v>1112</v>
      </c>
      <c r="C55" s="2305"/>
      <c r="D55" s="1664">
        <f>COUNTIFS(B5:B40,"=Yes",C5:C40,"=No")</f>
        <v>5</v>
      </c>
      <c r="E55" s="1665"/>
    </row>
    <row r="56" spans="1:13" ht="27.75" customHeight="1" x14ac:dyDescent="0.2">
      <c r="A56" s="1596"/>
      <c r="B56" s="2289" t="s">
        <v>1113</v>
      </c>
      <c r="C56" s="2290"/>
      <c r="D56" s="1666">
        <f>IF(K5="","",IF(D53="0",D54/D55,(D54+D53)/(D55+1)))</f>
        <v>0.85317368321754117</v>
      </c>
      <c r="F56" s="2291" t="s">
        <v>1114</v>
      </c>
      <c r="G56" s="2292"/>
      <c r="H56" s="2292"/>
      <c r="I56" s="2292"/>
      <c r="J56" s="2292"/>
      <c r="K56" s="2292"/>
      <c r="L56" s="1667"/>
      <c r="M56" s="1668"/>
    </row>
    <row r="57" spans="1:13" ht="22.5" customHeight="1" thickBot="1" x14ac:dyDescent="0.25">
      <c r="A57" s="1596"/>
      <c r="B57" s="2289" t="s">
        <v>1115</v>
      </c>
      <c r="C57" s="2290"/>
      <c r="D57" s="1669">
        <f>COUNTIFS(B5:B40,"=Yes",K5:K40,"&lt;60%")</f>
        <v>0</v>
      </c>
      <c r="E57" s="1670"/>
      <c r="F57" s="2292"/>
      <c r="G57" s="2292"/>
      <c r="H57" s="2292"/>
      <c r="I57" s="2292"/>
      <c r="J57" s="2292"/>
      <c r="K57" s="2292"/>
      <c r="L57" s="1667"/>
      <c r="M57" s="1668"/>
    </row>
    <row r="58" spans="1:13" ht="22.5" customHeight="1" thickBot="1" x14ac:dyDescent="0.25">
      <c r="A58" s="1596"/>
      <c r="B58" s="2281" t="s">
        <v>1116</v>
      </c>
      <c r="C58" s="2282"/>
      <c r="D58" s="1671" t="str">
        <f>IF(D56="","",IF(D56&gt;100%,"A1",IF(AND(D56&lt;=100%,D56&gt;=90%),"A2",IF(AND(D56&lt;90%,D56&gt;=60%),"B1",IF(AND(D56&lt;60%,D56&gt;=30%),"B2","C")))))</f>
        <v>B1</v>
      </c>
      <c r="E58" s="1672"/>
      <c r="F58" s="2293" t="s">
        <v>1117</v>
      </c>
      <c r="G58" s="2295" t="str">
        <f>IF(D58="A1",IF(D60="A1","A1",IF(D60="A2","A1",IF(D60="B1","A2",IF(D60="B2","A2","A2")))),IF(D58="A2",IF(D60="A1","A2",IF(D60="A2","A2",IF(D60="B1","A2",IF(D60="B2","B1","B1")))),IF(D58="B1",IF(D60="A1","A2",IF(D60="A2","B1",IF(D60="B1","B1",IF(D60="B2","B1","B2")))),IF(D58="B2",IF(D60="A1","B1",IF(D60="A2","B1",IF(D60="B1","B2",IF(D60="B2","B2","B2")))),IF(D58="C",IF(D60="A1","B2",IF(D60="A2","B2",IF(D60="B1","B2","C"))))))))</f>
        <v>B1</v>
      </c>
      <c r="I58" s="2297"/>
    </row>
    <row r="59" spans="1:13" ht="22.5" customHeight="1" thickBot="1" x14ac:dyDescent="0.25">
      <c r="A59" s="1596"/>
      <c r="B59" s="2298" t="s">
        <v>1118</v>
      </c>
      <c r="C59" s="2299"/>
      <c r="D59" s="1673">
        <f>IF(K5="","",AVERAGE(K5:K40))</f>
        <v>0.93387394276822344</v>
      </c>
      <c r="E59" s="1674"/>
      <c r="F59" s="2294"/>
      <c r="G59" s="2296"/>
      <c r="I59" s="2297"/>
    </row>
    <row r="60" spans="1:13" ht="22.5" customHeight="1" thickBot="1" x14ac:dyDescent="0.25">
      <c r="A60" s="1596"/>
      <c r="B60" s="2281" t="s">
        <v>1100</v>
      </c>
      <c r="C60" s="2282"/>
      <c r="D60" s="1671" t="str">
        <f>IF(D59="","", IF(D59&gt;100%,"A1",IF(AND(D59&lt;=100%,D59&gt;=90%),"A2",IF(AND(D59&lt;90%,D59&gt;=60%),"B1",IF(AND(D59&lt;60%,D59&gt;=30%),"B2","C")))))</f>
        <v>A2</v>
      </c>
      <c r="E60" s="1672"/>
      <c r="F60" s="2283" t="s">
        <v>1119</v>
      </c>
      <c r="G60" s="2285" t="str">
        <f>IF(D57=0,IF(G58="A1","A1",IF(G58="A2","A2",IF(G58="B1","B1",IF(G58="B2","B2",IF(G58="C","C",""))))),IF(G58="A1","B1",IF(G58="A2","B1",IF(G58="","",G58))))</f>
        <v>B1</v>
      </c>
    </row>
    <row r="61" spans="1:13" ht="36.75" customHeight="1" thickBot="1" x14ac:dyDescent="0.25">
      <c r="A61" s="1596"/>
      <c r="B61" s="2287" t="s">
        <v>1120</v>
      </c>
      <c r="C61" s="2288"/>
      <c r="D61" s="1675" t="s">
        <v>1121</v>
      </c>
      <c r="E61" s="1676"/>
      <c r="F61" s="2284"/>
      <c r="G61" s="2286"/>
    </row>
    <row r="62" spans="1:13" ht="15" customHeight="1" x14ac:dyDescent="0.2">
      <c r="A62" s="1596"/>
      <c r="F62" s="1596"/>
    </row>
    <row r="63" spans="1:13" ht="15" customHeight="1" x14ac:dyDescent="0.2"/>
    <row r="64" spans="1:13"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sheetData>
  <mergeCells count="27">
    <mergeCell ref="G3:H3"/>
    <mergeCell ref="I3:K3"/>
    <mergeCell ref="C43:D43"/>
    <mergeCell ref="B45:D45"/>
    <mergeCell ref="G45:K45"/>
    <mergeCell ref="B46:C46"/>
    <mergeCell ref="B47:C47"/>
    <mergeCell ref="B48:C48"/>
    <mergeCell ref="B49:C49"/>
    <mergeCell ref="B50:C50"/>
    <mergeCell ref="B51:C51"/>
    <mergeCell ref="B52:C52"/>
    <mergeCell ref="B53:C53"/>
    <mergeCell ref="B54:C54"/>
    <mergeCell ref="B55:C55"/>
    <mergeCell ref="B60:C60"/>
    <mergeCell ref="F60:F61"/>
    <mergeCell ref="G60:G61"/>
    <mergeCell ref="B61:C61"/>
    <mergeCell ref="B56:C56"/>
    <mergeCell ref="F56:K57"/>
    <mergeCell ref="B57:C57"/>
    <mergeCell ref="B58:C58"/>
    <mergeCell ref="F58:F59"/>
    <mergeCell ref="G58:G59"/>
    <mergeCell ref="I58:I59"/>
    <mergeCell ref="B59:C59"/>
  </mergeCells>
  <conditionalFormatting sqref="D58">
    <cfRule type="cellIs" dxfId="70" priority="23" stopIfTrue="1" operator="equal">
      <formula>"C"</formula>
    </cfRule>
    <cfRule type="cellIs" dxfId="69" priority="24" stopIfTrue="1" operator="equal">
      <formula>"B2"</formula>
    </cfRule>
    <cfRule type="cellIs" dxfId="68" priority="25" stopIfTrue="1" operator="equal">
      <formula>"B1"</formula>
    </cfRule>
    <cfRule type="cellIs" dxfId="67" priority="26" stopIfTrue="1" operator="equal">
      <formula>"A2"</formula>
    </cfRule>
    <cfRule type="cellIs" dxfId="66" priority="27" stopIfTrue="1" operator="equal">
      <formula>"A1"</formula>
    </cfRule>
  </conditionalFormatting>
  <conditionalFormatting sqref="D60">
    <cfRule type="cellIs" dxfId="65" priority="18" stopIfTrue="1" operator="equal">
      <formula>"C"</formula>
    </cfRule>
    <cfRule type="cellIs" dxfId="64" priority="19" stopIfTrue="1" operator="equal">
      <formula>"B2"</formula>
    </cfRule>
    <cfRule type="cellIs" dxfId="63" priority="20" stopIfTrue="1" operator="equal">
      <formula>"B1"</formula>
    </cfRule>
    <cfRule type="cellIs" dxfId="62" priority="21" stopIfTrue="1" operator="equal">
      <formula>"A2"</formula>
    </cfRule>
    <cfRule type="cellIs" dxfId="61" priority="22" stopIfTrue="1" operator="equal">
      <formula>"A1"</formula>
    </cfRule>
  </conditionalFormatting>
  <conditionalFormatting sqref="D57">
    <cfRule type="cellIs" dxfId="60" priority="17" stopIfTrue="1" operator="greaterThanOrEqual">
      <formula>1</formula>
    </cfRule>
  </conditionalFormatting>
  <conditionalFormatting sqref="F47:K47">
    <cfRule type="expression" dxfId="59" priority="16">
      <formula>$F$47=$D$58</formula>
    </cfRule>
  </conditionalFormatting>
  <conditionalFormatting sqref="F48:K48">
    <cfRule type="expression" dxfId="58" priority="15">
      <formula>$F$48=$D$58</formula>
    </cfRule>
  </conditionalFormatting>
  <conditionalFormatting sqref="F49:K49">
    <cfRule type="expression" dxfId="57" priority="14">
      <formula>$F$49=$D$58</formula>
    </cfRule>
  </conditionalFormatting>
  <conditionalFormatting sqref="F50:K52">
    <cfRule type="expression" dxfId="56" priority="13">
      <formula>$F$50=$D$58</formula>
    </cfRule>
  </conditionalFormatting>
  <conditionalFormatting sqref="F53:K53">
    <cfRule type="expression" dxfId="55" priority="12">
      <formula>$F$53=$D$58</formula>
    </cfRule>
  </conditionalFormatting>
  <conditionalFormatting sqref="G46:G53">
    <cfRule type="expression" dxfId="54" priority="11">
      <formula>$G$46=$D$60</formula>
    </cfRule>
  </conditionalFormatting>
  <conditionalFormatting sqref="H46:H53">
    <cfRule type="expression" dxfId="53" priority="10">
      <formula>$H$46=$D$60</formula>
    </cfRule>
  </conditionalFormatting>
  <conditionalFormatting sqref="I46:I53">
    <cfRule type="expression" dxfId="52" priority="9">
      <formula>$I$46=$D$60</formula>
    </cfRule>
  </conditionalFormatting>
  <conditionalFormatting sqref="J46:J53">
    <cfRule type="expression" dxfId="51" priority="8">
      <formula>$J$46=$D$60</formula>
    </cfRule>
  </conditionalFormatting>
  <conditionalFormatting sqref="K46:K53">
    <cfRule type="expression" dxfId="50" priority="7">
      <formula>$K$46=$D$60</formula>
    </cfRule>
  </conditionalFormatting>
  <conditionalFormatting sqref="G60">
    <cfRule type="cellIs" dxfId="49" priority="2" stopIfTrue="1" operator="equal">
      <formula>"C"</formula>
    </cfRule>
    <cfRule type="cellIs" dxfId="48" priority="3" stopIfTrue="1" operator="equal">
      <formula>"B2"</formula>
    </cfRule>
    <cfRule type="cellIs" dxfId="47" priority="4" stopIfTrue="1" operator="equal">
      <formula>"B1"</formula>
    </cfRule>
    <cfRule type="cellIs" dxfId="46" priority="5" stopIfTrue="1" operator="equal">
      <formula>"A2"</formula>
    </cfRule>
    <cfRule type="cellIs" dxfId="45" priority="6" stopIfTrue="1" operator="equal">
      <formula>"A1"</formula>
    </cfRule>
  </conditionalFormatting>
  <conditionalFormatting sqref="G58:G59">
    <cfRule type="cellIs" dxfId="44" priority="1" stopIfTrue="1" operator="equal">
      <formula>FALSE</formula>
    </cfRule>
  </conditionalFormatting>
  <dataValidations count="1">
    <dataValidation type="list" allowBlank="1" showInputMessage="1" showErrorMessage="1" sqref="D5:D40 B5:C41">
      <formula1>"Yes, No"</formula1>
    </dataValidation>
  </dataValidations>
  <pageMargins left="0.7" right="0.7" top="0.75" bottom="0.75" header="0.3" footer="0.3"/>
  <pageSetup scale="50" orientation="landscape"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IU68"/>
  <sheetViews>
    <sheetView view="pageBreakPreview" topLeftCell="A41" zoomScale="70" zoomScaleNormal="65" zoomScaleSheetLayoutView="70" workbookViewId="0">
      <selection activeCell="L42" sqref="L42"/>
    </sheetView>
  </sheetViews>
  <sheetFormatPr defaultColWidth="0" defaultRowHeight="12.75" x14ac:dyDescent="0.2"/>
  <cols>
    <col min="1" max="1" width="15.42578125" style="69" customWidth="1"/>
    <col min="2" max="2" width="33.28515625" style="69" customWidth="1"/>
    <col min="3" max="3" width="30.140625" style="69" customWidth="1"/>
    <col min="4" max="4" width="20.7109375" style="69" customWidth="1"/>
    <col min="5" max="5" width="19.28515625" style="69" customWidth="1"/>
    <col min="6" max="6" width="20" style="69" customWidth="1"/>
    <col min="7" max="7" width="0.5703125" style="69" hidden="1" customWidth="1"/>
    <col min="8" max="8" width="6.5703125" style="69" hidden="1" customWidth="1"/>
    <col min="9" max="9" width="1" style="69" customWidth="1"/>
    <col min="10" max="10" width="18.140625" style="83" customWidth="1"/>
    <col min="11" max="11" width="21.7109375" style="69" customWidth="1"/>
    <col min="12" max="12" width="42.85546875" style="69" customWidth="1"/>
    <col min="13" max="23" width="9.140625" style="69" customWidth="1"/>
    <col min="24" max="24" width="0" style="69" hidden="1" customWidth="1"/>
    <col min="25" max="25" width="9.85546875" style="69" hidden="1" customWidth="1"/>
    <col min="26" max="28" width="0" style="69" hidden="1" customWidth="1"/>
    <col min="29" max="29" width="9.85546875" style="69" hidden="1" customWidth="1"/>
    <col min="30" max="251" width="0" style="69" hidden="1" customWidth="1"/>
    <col min="252" max="252" width="9.85546875" style="69" hidden="1" customWidth="1"/>
    <col min="253" max="255" width="0" style="69" hidden="1" customWidth="1"/>
    <col min="256" max="16384" width="9.85546875" style="69" hidden="1"/>
  </cols>
  <sheetData>
    <row r="1" spans="1:23" s="3" customFormat="1" ht="25.5" customHeight="1" x14ac:dyDescent="0.35">
      <c r="A1" s="2161" t="s">
        <v>629</v>
      </c>
      <c r="B1" s="2161"/>
      <c r="C1" s="2161"/>
      <c r="D1" s="2161"/>
      <c r="E1" s="2161"/>
      <c r="F1" s="2161"/>
      <c r="G1" s="2161"/>
      <c r="H1" s="2161"/>
      <c r="I1" s="2161"/>
      <c r="J1" s="2161"/>
      <c r="K1" s="69"/>
      <c r="L1" s="69"/>
      <c r="M1" s="69"/>
      <c r="N1" s="69"/>
      <c r="O1" s="69"/>
      <c r="P1" s="69"/>
      <c r="Q1" s="69"/>
      <c r="R1" s="69"/>
      <c r="S1" s="69"/>
      <c r="T1" s="69"/>
      <c r="U1" s="69"/>
      <c r="V1" s="69"/>
      <c r="W1" s="69"/>
    </row>
    <row r="2" spans="1:23" s="13" customFormat="1" ht="27" customHeight="1" thickBot="1" x14ac:dyDescent="0.3">
      <c r="A2" s="98" t="s">
        <v>504</v>
      </c>
      <c r="B2" s="72"/>
      <c r="C2" s="72"/>
      <c r="D2" s="72"/>
      <c r="E2" s="72"/>
      <c r="F2" s="72"/>
      <c r="G2" s="72"/>
      <c r="H2" s="72"/>
      <c r="I2" s="72"/>
      <c r="J2" s="72"/>
      <c r="K2" s="72"/>
      <c r="L2" s="72"/>
      <c r="M2" s="69"/>
      <c r="N2" s="69"/>
      <c r="O2" s="69"/>
      <c r="P2" s="69"/>
      <c r="Q2" s="69"/>
      <c r="R2" s="69"/>
      <c r="S2" s="69"/>
      <c r="T2" s="69"/>
      <c r="U2" s="69"/>
      <c r="V2" s="69"/>
      <c r="W2" s="69"/>
    </row>
    <row r="3" spans="1:23" s="4" customFormat="1" ht="27.75" customHeight="1" thickBot="1" x14ac:dyDescent="0.25">
      <c r="A3" s="1742" t="s">
        <v>419</v>
      </c>
      <c r="B3" s="1743"/>
      <c r="C3" s="1803" t="str">
        <f>IF('LFA_Programmatic Progress_1A'!C7="","",'LFA_Programmatic Progress_1A'!C7)</f>
        <v>BTN-607-G03-H</v>
      </c>
      <c r="D3" s="1804"/>
      <c r="E3" s="1804"/>
      <c r="F3" s="1805"/>
      <c r="G3" s="73"/>
      <c r="H3" s="73"/>
      <c r="I3" s="73"/>
      <c r="J3" s="73"/>
      <c r="K3" s="73"/>
      <c r="L3" s="73"/>
      <c r="M3" s="220"/>
      <c r="N3" s="220"/>
      <c r="O3" s="220"/>
      <c r="P3" s="220"/>
      <c r="Q3" s="220"/>
      <c r="R3" s="220"/>
      <c r="S3" s="220"/>
      <c r="T3" s="220"/>
      <c r="U3" s="220"/>
      <c r="V3" s="220"/>
      <c r="W3" s="220"/>
    </row>
    <row r="4" spans="1:23" s="4" customFormat="1" ht="15" customHeight="1" x14ac:dyDescent="0.2">
      <c r="A4" s="492" t="s">
        <v>621</v>
      </c>
      <c r="B4" s="512"/>
      <c r="C4" s="53" t="s">
        <v>627</v>
      </c>
      <c r="D4" s="504" t="str">
        <f>IF('LFA_Programmatic Progress_1A'!D12="Select","",'LFA_Programmatic Progress_1A'!D12)</f>
        <v>Quarter</v>
      </c>
      <c r="E4" s="5" t="s">
        <v>628</v>
      </c>
      <c r="F4" s="47">
        <f>IF('LFA_Programmatic Progress_1A'!F12="Select","",'LFA_Programmatic Progress_1A'!F12)</f>
        <v>17</v>
      </c>
      <c r="G4" s="73"/>
      <c r="H4" s="73"/>
      <c r="I4" s="73"/>
      <c r="J4" s="73"/>
      <c r="K4" s="73"/>
      <c r="L4" s="73"/>
      <c r="M4" s="220"/>
      <c r="N4" s="220"/>
      <c r="O4" s="220"/>
      <c r="P4" s="220"/>
      <c r="Q4" s="220"/>
      <c r="R4" s="220"/>
      <c r="S4" s="220"/>
      <c r="T4" s="220"/>
      <c r="U4" s="220"/>
      <c r="V4" s="220"/>
      <c r="W4" s="220"/>
    </row>
    <row r="5" spans="1:23" s="4" customFormat="1" ht="15" customHeight="1" x14ac:dyDescent="0.2">
      <c r="A5" s="513" t="s">
        <v>622</v>
      </c>
      <c r="B5" s="40"/>
      <c r="C5" s="54" t="s">
        <v>590</v>
      </c>
      <c r="D5" s="519">
        <f>IF('LFA_Programmatic Progress_1A'!D13="","",'LFA_Programmatic Progress_1A'!D13)</f>
        <v>40940</v>
      </c>
      <c r="E5" s="5" t="s">
        <v>608</v>
      </c>
      <c r="F5" s="520">
        <f>IF('LFA_Programmatic Progress_1A'!F13="","",'LFA_Programmatic Progress_1A'!F13)</f>
        <v>41029</v>
      </c>
      <c r="G5" s="73"/>
      <c r="H5" s="73"/>
      <c r="I5" s="73"/>
      <c r="J5" s="73"/>
      <c r="K5" s="73"/>
      <c r="L5" s="73"/>
      <c r="M5" s="220"/>
      <c r="N5" s="220"/>
      <c r="O5" s="220"/>
      <c r="P5" s="220"/>
      <c r="Q5" s="220"/>
      <c r="R5" s="220"/>
      <c r="S5" s="220"/>
      <c r="T5" s="220"/>
      <c r="U5" s="220"/>
      <c r="V5" s="220"/>
      <c r="W5" s="220"/>
    </row>
    <row r="6" spans="1:23" s="4" customFormat="1" ht="15" customHeight="1" thickBot="1" x14ac:dyDescent="0.25">
      <c r="A6" s="55" t="s">
        <v>623</v>
      </c>
      <c r="B6" s="41"/>
      <c r="C6" s="1816">
        <f>IF('LFA_Programmatic Progress_1A'!C14="Select","",'LFA_Programmatic Progress_1A'!C14)</f>
        <v>17</v>
      </c>
      <c r="D6" s="1817"/>
      <c r="E6" s="1817"/>
      <c r="F6" s="1818"/>
      <c r="G6" s="73"/>
      <c r="H6" s="73"/>
      <c r="I6" s="73"/>
      <c r="J6" s="73"/>
      <c r="K6" s="73"/>
      <c r="L6" s="73"/>
      <c r="M6" s="220"/>
      <c r="N6" s="220"/>
      <c r="O6" s="220"/>
      <c r="P6" s="220"/>
      <c r="Q6" s="220"/>
      <c r="R6" s="220"/>
      <c r="S6" s="220"/>
      <c r="T6" s="220"/>
      <c r="U6" s="220"/>
      <c r="V6" s="220"/>
      <c r="W6" s="220"/>
    </row>
    <row r="7" spans="1:23" s="4" customFormat="1" ht="9" customHeight="1" x14ac:dyDescent="0.2">
      <c r="A7" s="201"/>
      <c r="B7" s="202"/>
      <c r="C7" s="52"/>
      <c r="D7" s="207"/>
      <c r="E7" s="208"/>
      <c r="F7" s="52"/>
      <c r="G7" s="170"/>
      <c r="H7" s="170"/>
      <c r="I7" s="210"/>
      <c r="J7" s="210"/>
      <c r="K7" s="73"/>
      <c r="L7" s="73"/>
      <c r="M7" s="220"/>
      <c r="N7" s="220"/>
      <c r="O7" s="220"/>
      <c r="P7" s="220"/>
      <c r="Q7" s="220"/>
      <c r="R7" s="220"/>
      <c r="S7" s="220"/>
      <c r="T7" s="220"/>
      <c r="U7" s="220"/>
      <c r="V7" s="220"/>
      <c r="W7" s="220"/>
    </row>
    <row r="8" spans="1:23" s="4" customFormat="1" ht="19.5" customHeight="1" x14ac:dyDescent="0.2">
      <c r="A8" s="200" t="s">
        <v>573</v>
      </c>
      <c r="B8" s="203"/>
      <c r="C8" s="206"/>
      <c r="D8" s="206"/>
      <c r="E8" s="209"/>
      <c r="F8" s="204"/>
      <c r="G8" s="205"/>
      <c r="H8" s="205"/>
      <c r="I8" s="211"/>
      <c r="J8" s="212"/>
      <c r="K8" s="73"/>
      <c r="L8" s="73"/>
      <c r="M8" s="220"/>
      <c r="N8" s="220"/>
      <c r="O8" s="220"/>
      <c r="P8" s="220"/>
      <c r="Q8" s="220"/>
      <c r="R8" s="220"/>
      <c r="S8" s="220"/>
      <c r="T8" s="220"/>
      <c r="U8" s="220"/>
      <c r="V8" s="220"/>
      <c r="W8" s="220"/>
    </row>
    <row r="9" spans="1:23" s="535" customFormat="1" ht="5.25" customHeight="1" x14ac:dyDescent="0.2">
      <c r="A9" s="213"/>
      <c r="B9" s="610"/>
      <c r="C9" s="611"/>
      <c r="D9" s="611"/>
      <c r="E9" s="611"/>
      <c r="F9" s="611"/>
      <c r="I9" s="611"/>
      <c r="J9" s="610"/>
      <c r="L9" s="1021"/>
      <c r="M9" s="992"/>
      <c r="N9" s="992"/>
      <c r="O9" s="992"/>
      <c r="P9" s="992"/>
      <c r="Q9" s="992"/>
      <c r="R9" s="992"/>
      <c r="S9" s="992"/>
      <c r="T9" s="992"/>
      <c r="U9" s="992"/>
      <c r="V9" s="992"/>
      <c r="W9" s="992"/>
    </row>
    <row r="10" spans="1:23" s="17" customFormat="1" ht="24.75" customHeight="1" x14ac:dyDescent="0.2">
      <c r="A10" s="1859" t="s">
        <v>220</v>
      </c>
      <c r="B10" s="1860"/>
      <c r="C10" s="1860"/>
      <c r="D10" s="1860"/>
      <c r="E10" s="1860"/>
      <c r="F10" s="1860"/>
      <c r="G10" s="1860"/>
      <c r="H10" s="1860"/>
      <c r="I10" s="1860"/>
      <c r="J10" s="1860"/>
      <c r="K10" s="1860"/>
      <c r="L10" s="1860"/>
      <c r="M10" s="1022"/>
      <c r="N10" s="1022"/>
      <c r="O10" s="1022"/>
      <c r="P10" s="1022"/>
      <c r="Q10" s="1022"/>
      <c r="R10" s="1022"/>
      <c r="S10" s="1022"/>
      <c r="T10" s="1022"/>
      <c r="U10" s="1022"/>
      <c r="V10" s="1022"/>
      <c r="W10" s="1022"/>
    </row>
    <row r="11" spans="1:23" s="17" customFormat="1" ht="27" customHeight="1" x14ac:dyDescent="0.2">
      <c r="A11" s="2315" t="s">
        <v>287</v>
      </c>
      <c r="B11" s="2316"/>
      <c r="C11" s="2316"/>
      <c r="D11" s="2316"/>
      <c r="E11" s="2316"/>
      <c r="F11" s="2316"/>
      <c r="G11" s="2316"/>
      <c r="H11" s="2316"/>
      <c r="I11" s="2316"/>
      <c r="J11" s="2316"/>
      <c r="K11" s="2316"/>
      <c r="L11" s="2316"/>
      <c r="M11" s="1022"/>
      <c r="N11" s="1022"/>
      <c r="O11" s="1022"/>
      <c r="P11" s="1022"/>
      <c r="Q11" s="1022"/>
      <c r="R11" s="1022"/>
      <c r="S11" s="1022"/>
      <c r="T11" s="1022"/>
      <c r="U11" s="1022"/>
      <c r="V11" s="1022"/>
      <c r="W11" s="1022"/>
    </row>
    <row r="12" spans="1:23" s="909" customFormat="1" ht="41.25" customHeight="1" x14ac:dyDescent="0.2">
      <c r="A12" s="2315" t="s">
        <v>288</v>
      </c>
      <c r="B12" s="2337"/>
      <c r="C12" s="2337"/>
      <c r="D12" s="2337"/>
      <c r="E12" s="2337"/>
      <c r="F12" s="2337"/>
      <c r="G12" s="2337"/>
      <c r="H12" s="2337"/>
      <c r="I12" s="2337"/>
      <c r="J12" s="2337"/>
      <c r="K12" s="2337"/>
      <c r="L12" s="2338"/>
      <c r="M12" s="1023"/>
      <c r="N12" s="1023"/>
      <c r="O12" s="1023"/>
      <c r="P12" s="1023"/>
      <c r="Q12" s="1023"/>
      <c r="R12" s="1023"/>
      <c r="S12" s="1023"/>
      <c r="T12" s="1023"/>
      <c r="U12" s="1023"/>
      <c r="V12" s="1023"/>
      <c r="W12" s="1023"/>
    </row>
    <row r="13" spans="1:23" s="909" customFormat="1" ht="31.5" customHeight="1" thickBot="1" x14ac:dyDescent="0.3">
      <c r="A13" s="2339" t="s">
        <v>331</v>
      </c>
      <c r="B13" s="2339"/>
      <c r="C13" s="2339"/>
      <c r="D13" s="2339"/>
      <c r="E13" s="2339"/>
      <c r="F13" s="2339"/>
      <c r="G13" s="2339"/>
      <c r="H13" s="2339"/>
      <c r="I13" s="2339"/>
      <c r="J13" s="2339"/>
      <c r="K13" s="2339"/>
      <c r="L13" s="2339"/>
      <c r="M13" s="1023"/>
      <c r="N13" s="1023"/>
      <c r="O13" s="1023"/>
      <c r="P13" s="1023"/>
      <c r="Q13" s="1023"/>
      <c r="R13" s="1023"/>
      <c r="S13" s="1023"/>
      <c r="T13" s="1023"/>
      <c r="U13" s="1023"/>
      <c r="V13" s="1023"/>
      <c r="W13" s="1023"/>
    </row>
    <row r="14" spans="1:23" s="184" customFormat="1" ht="23.25" customHeight="1" thickBot="1" x14ac:dyDescent="0.3">
      <c r="A14" s="214"/>
      <c r="B14" s="215"/>
      <c r="C14" s="216"/>
      <c r="D14" s="382" t="s">
        <v>147</v>
      </c>
      <c r="E14" s="2320" t="s">
        <v>148</v>
      </c>
      <c r="F14" s="2321"/>
      <c r="G14" s="2321"/>
      <c r="H14" s="2321"/>
      <c r="I14" s="2321"/>
      <c r="J14" s="2321"/>
      <c r="K14" s="2322"/>
      <c r="L14" s="2323"/>
      <c r="M14" s="1024"/>
      <c r="N14" s="1024"/>
      <c r="O14" s="1024"/>
      <c r="P14" s="1024"/>
      <c r="Q14" s="1024"/>
      <c r="R14" s="1024"/>
      <c r="S14" s="1024"/>
      <c r="T14" s="1024"/>
      <c r="U14" s="1024"/>
      <c r="V14" s="1024"/>
      <c r="W14" s="1024"/>
    </row>
    <row r="15" spans="1:23" s="13" customFormat="1" ht="47.25" customHeight="1" thickBot="1" x14ac:dyDescent="0.25">
      <c r="A15" s="2327" t="s">
        <v>594</v>
      </c>
      <c r="B15" s="2328"/>
      <c r="C15" s="2329"/>
      <c r="D15" s="472" t="s">
        <v>354</v>
      </c>
      <c r="E15" s="472" t="s">
        <v>354</v>
      </c>
      <c r="F15" s="2324" t="s">
        <v>132</v>
      </c>
      <c r="G15" s="2325"/>
      <c r="H15" s="2325"/>
      <c r="I15" s="2325"/>
      <c r="J15" s="2325"/>
      <c r="K15" s="2325"/>
      <c r="L15" s="2326"/>
      <c r="M15" s="14"/>
      <c r="N15" s="14"/>
      <c r="O15" s="14"/>
      <c r="P15" s="14"/>
      <c r="Q15" s="14"/>
      <c r="R15" s="14"/>
      <c r="S15" s="14"/>
      <c r="T15" s="14"/>
      <c r="U15" s="14"/>
      <c r="V15" s="14"/>
      <c r="W15" s="14"/>
    </row>
    <row r="16" spans="1:23" s="3" customFormat="1" ht="69.75" customHeight="1" x14ac:dyDescent="0.2">
      <c r="A16" s="2334" t="str">
        <f>IF('PR_Grant Management_2'!A14="","",'PR_Grant Management_2'!A14)</f>
        <v>Provide evidence in form and substance satisfactory to the Global Fund that the Principal Recipient has recruited or assigned a Monitoring &amp; Evalaution (M&amp;E) coordinator</v>
      </c>
      <c r="B16" s="2335"/>
      <c r="C16" s="2336"/>
      <c r="D16" s="743" t="str">
        <f>IF('PR_Grant Management_2'!F14="","",'PR_Grant Management_2'!F14)</f>
        <v>Yes</v>
      </c>
      <c r="E16" s="744" t="s">
        <v>1134</v>
      </c>
      <c r="F16" s="2331" t="s">
        <v>1123</v>
      </c>
      <c r="G16" s="2332"/>
      <c r="H16" s="2332"/>
      <c r="I16" s="2332"/>
      <c r="J16" s="2332"/>
      <c r="K16" s="2332"/>
      <c r="L16" s="2333"/>
      <c r="M16" s="69"/>
      <c r="N16" s="69"/>
      <c r="O16" s="69"/>
      <c r="P16" s="69"/>
      <c r="Q16" s="69"/>
      <c r="R16" s="69"/>
      <c r="S16" s="69"/>
      <c r="T16" s="69"/>
      <c r="U16" s="69"/>
      <c r="V16" s="69"/>
      <c r="W16" s="69"/>
    </row>
    <row r="17" spans="1:23" s="3" customFormat="1" ht="110.25" customHeight="1" x14ac:dyDescent="0.2">
      <c r="A17" s="2317" t="str">
        <f>IF('PR_Grant Management_2'!A15="","",'PR_Grant Management_2'!A15)</f>
        <v xml:space="preserve">Provide evidence in form and substance satisfactory to the Global Fund that the Principal Recipient has standardised formats &amp; guidelines for data collection and reporting through out the country; and </v>
      </c>
      <c r="B17" s="2318"/>
      <c r="C17" s="2319"/>
      <c r="D17" s="393" t="str">
        <f>IF('PR_Grant Management_2'!F15="","",'PR_Grant Management_2'!F15)</f>
        <v>Yes</v>
      </c>
      <c r="E17" s="473" t="s">
        <v>1134</v>
      </c>
      <c r="F17" s="2330" t="s">
        <v>1124</v>
      </c>
      <c r="G17" s="2235"/>
      <c r="H17" s="2235"/>
      <c r="I17" s="2235"/>
      <c r="J17" s="2235"/>
      <c r="K17" s="2235"/>
      <c r="L17" s="2236"/>
      <c r="M17" s="69"/>
      <c r="N17" s="69"/>
      <c r="O17" s="69"/>
      <c r="P17" s="69"/>
      <c r="Q17" s="69"/>
      <c r="R17" s="69"/>
      <c r="S17" s="69"/>
      <c r="T17" s="69"/>
      <c r="U17" s="69"/>
      <c r="V17" s="69"/>
      <c r="W17" s="69"/>
    </row>
    <row r="18" spans="1:23" s="3" customFormat="1" ht="61.5" customHeight="1" x14ac:dyDescent="0.2">
      <c r="A18" s="2317" t="str">
        <f>IF('PR_Grant Management_2'!A16="","",'PR_Grant Management_2'!A16)</f>
        <v>Provide evidence, in form and substance satisfactory to the Global Fund, the the Principal Recipient has implemented and M&amp;E training and supervision plan for reporting units</v>
      </c>
      <c r="B18" s="2318"/>
      <c r="C18" s="2319"/>
      <c r="D18" s="393" t="str">
        <f>IF('PR_Grant Management_2'!F16="","",'PR_Grant Management_2'!F16)</f>
        <v>Partially</v>
      </c>
      <c r="E18" s="473" t="s">
        <v>1134</v>
      </c>
      <c r="F18" s="2340" t="s">
        <v>1125</v>
      </c>
      <c r="G18" s="2340"/>
      <c r="H18" s="2340"/>
      <c r="I18" s="2340"/>
      <c r="J18" s="2340"/>
      <c r="K18" s="2340"/>
      <c r="L18" s="2341"/>
      <c r="M18" s="69"/>
      <c r="N18" s="69"/>
      <c r="O18" s="69"/>
      <c r="P18" s="69"/>
      <c r="Q18" s="69"/>
      <c r="R18" s="69"/>
      <c r="S18" s="69"/>
      <c r="T18" s="69"/>
      <c r="U18" s="69"/>
      <c r="V18" s="69"/>
      <c r="W18" s="69"/>
    </row>
    <row r="19" spans="1:23" s="3" customFormat="1" ht="61.5" customHeight="1" x14ac:dyDescent="0.2">
      <c r="A19" s="2317" t="str">
        <f>IF('PR_Grant Management_2'!A17="","",'PR_Grant Management_2'!A17)</f>
        <v>The disbursement by the GF or use by PR of global funds to finance the procurement of Health products (as defined in Article 19 of the Standard Terms and Condition of this Agreement), is subject to the following conditions:</v>
      </c>
      <c r="B19" s="2318"/>
      <c r="C19" s="2319"/>
      <c r="D19" s="393" t="str">
        <f>IF('PR_Grant Management_2'!F17="","",'PR_Grant Management_2'!F17)</f>
        <v>Yes</v>
      </c>
      <c r="E19" s="473" t="s">
        <v>1134</v>
      </c>
      <c r="F19" s="2340" t="s">
        <v>1126</v>
      </c>
      <c r="G19" s="2340"/>
      <c r="H19" s="2340"/>
      <c r="I19" s="2340"/>
      <c r="J19" s="2340"/>
      <c r="K19" s="2340"/>
      <c r="L19" s="2341"/>
      <c r="M19" s="69"/>
      <c r="N19" s="69"/>
      <c r="O19" s="69"/>
      <c r="P19" s="69"/>
      <c r="Q19" s="69"/>
      <c r="R19" s="69"/>
      <c r="S19" s="69"/>
      <c r="T19" s="69"/>
      <c r="U19" s="69"/>
      <c r="V19" s="69"/>
      <c r="W19" s="69"/>
    </row>
    <row r="20" spans="1:23" s="3" customFormat="1" ht="66.75" customHeight="1" x14ac:dyDescent="0.2">
      <c r="A20" s="2317" t="str">
        <f>IF('PR_Grant Management_2'!A18="","",'PR_Grant Management_2'!A18)</f>
        <v>(a) The Principal Recipient shall submit to the Global Fund a plan for procurement , use &amp; supply management of Health Products for phase 2 of program (Updated PSM Plan) in accordance with Global Fund guidelines for review and approval by the Global Fund. The Updated PSM shall:</v>
      </c>
      <c r="B20" s="2318"/>
      <c r="C20" s="2319"/>
      <c r="D20" s="393" t="str">
        <f>IF('PR_Grant Management_2'!F18="","",'PR_Grant Management_2'!F18)</f>
        <v>Yes</v>
      </c>
      <c r="E20" s="1682"/>
      <c r="F20" s="2342"/>
      <c r="G20" s="2342"/>
      <c r="H20" s="2342"/>
      <c r="I20" s="2342"/>
      <c r="J20" s="2342"/>
      <c r="K20" s="2342"/>
      <c r="L20" s="2343"/>
      <c r="M20" s="69"/>
      <c r="N20" s="69"/>
      <c r="O20" s="69"/>
      <c r="P20" s="69"/>
      <c r="Q20" s="69"/>
      <c r="R20" s="69"/>
      <c r="S20" s="69"/>
      <c r="T20" s="69"/>
      <c r="U20" s="69"/>
      <c r="V20" s="69"/>
      <c r="W20" s="69"/>
    </row>
    <row r="21" spans="1:23" s="3" customFormat="1" ht="60.75" customHeight="1" x14ac:dyDescent="0.2">
      <c r="A21" s="2317" t="str">
        <f>IF('PR_Grant Management_2'!A19="","",'PR_Grant Management_2'!A19)</f>
        <v xml:space="preserve">(i) address the deficiencies identified during the Phase 1 review in consultation with the GF, particularly those deficiencies relating to procurement process, quality assurance systems, storage and distribution as well as inventory mangement; and </v>
      </c>
      <c r="B21" s="2318"/>
      <c r="C21" s="2319"/>
      <c r="D21" s="393" t="str">
        <f>IF('PR_Grant Management_2'!F19="","",'PR_Grant Management_2'!F19)</f>
        <v>Yes</v>
      </c>
      <c r="E21" s="473" t="s">
        <v>1134</v>
      </c>
      <c r="F21" s="2340" t="s">
        <v>1127</v>
      </c>
      <c r="G21" s="2340"/>
      <c r="H21" s="2340"/>
      <c r="I21" s="2340"/>
      <c r="J21" s="2340"/>
      <c r="K21" s="2340"/>
      <c r="L21" s="2341"/>
      <c r="M21" s="69"/>
      <c r="N21" s="69"/>
      <c r="O21" s="69"/>
      <c r="P21" s="69"/>
      <c r="Q21" s="69"/>
      <c r="R21" s="69"/>
      <c r="S21" s="69"/>
      <c r="T21" s="69"/>
      <c r="U21" s="69"/>
      <c r="V21" s="69"/>
      <c r="W21" s="69"/>
    </row>
    <row r="22" spans="1:23" s="3" customFormat="1" ht="48.75" customHeight="1" x14ac:dyDescent="0.2">
      <c r="A22" s="2317" t="str">
        <f>IF('PR_Grant Management_2'!A20="","",'PR_Grant Management_2'!A20)</f>
        <v xml:space="preserve">(ii) include assumptions on forecasting for ARVs and testing products in order to ensure alignment with the performance framework and work plan and budget, where appropriate; and </v>
      </c>
      <c r="B22" s="2318"/>
      <c r="C22" s="2319"/>
      <c r="D22" s="393" t="str">
        <f>IF('PR_Grant Management_2'!F20="","",'PR_Grant Management_2'!F20)</f>
        <v>Yes</v>
      </c>
      <c r="E22" s="473" t="s">
        <v>1134</v>
      </c>
      <c r="F22" s="2340" t="s">
        <v>1128</v>
      </c>
      <c r="G22" s="2340"/>
      <c r="H22" s="2340"/>
      <c r="I22" s="2340"/>
      <c r="J22" s="2340"/>
      <c r="K22" s="2340"/>
      <c r="L22" s="2341"/>
      <c r="M22" s="69"/>
      <c r="N22" s="69"/>
      <c r="O22" s="69"/>
      <c r="P22" s="69"/>
      <c r="Q22" s="69"/>
      <c r="R22" s="69"/>
      <c r="S22" s="69"/>
      <c r="T22" s="69"/>
      <c r="U22" s="69"/>
      <c r="V22" s="69"/>
      <c r="W22" s="69"/>
    </row>
    <row r="23" spans="1:23" s="3" customFormat="1" ht="41.25" customHeight="1" x14ac:dyDescent="0.2">
      <c r="A23" s="2317" t="str">
        <f>IF('PR_Grant Management_2'!A21="","",'PR_Grant Management_2'!A21)</f>
        <v xml:space="preserve">(b) The written approval of the Global Fund of the updated PSM plan </v>
      </c>
      <c r="B23" s="2318"/>
      <c r="C23" s="2319"/>
      <c r="D23" s="393" t="str">
        <f>IF('PR_Grant Management_2'!F21="","",'PR_Grant Management_2'!F21)</f>
        <v>Yes</v>
      </c>
      <c r="E23" s="473" t="s">
        <v>1134</v>
      </c>
      <c r="F23" s="2340" t="s">
        <v>1129</v>
      </c>
      <c r="G23" s="2340"/>
      <c r="H23" s="2340"/>
      <c r="I23" s="2340"/>
      <c r="J23" s="2340"/>
      <c r="K23" s="2340"/>
      <c r="L23" s="2341"/>
      <c r="M23" s="69"/>
      <c r="N23" s="69"/>
      <c r="O23" s="69"/>
      <c r="P23" s="69"/>
      <c r="Q23" s="69"/>
      <c r="R23" s="69"/>
      <c r="S23" s="69"/>
      <c r="T23" s="69"/>
      <c r="U23" s="69"/>
      <c r="V23" s="69"/>
      <c r="W23" s="69"/>
    </row>
    <row r="24" spans="1:23" s="3" customFormat="1" ht="60.75" customHeight="1" x14ac:dyDescent="0.2">
      <c r="A24" s="2317" t="str">
        <f>IF('PR_Grant Management_2'!A22="","",'PR_Grant Management_2'!A22)</f>
        <v>The Principal Recipient acknowledges and agrees that Ministry of Health will be responsible for the implementation of the Program</v>
      </c>
      <c r="B24" s="2318"/>
      <c r="C24" s="2319"/>
      <c r="D24" s="393" t="str">
        <f>IF('PR_Grant Management_2'!F22="","",'PR_Grant Management_2'!F22)</f>
        <v>Yes</v>
      </c>
      <c r="E24" s="473" t="s">
        <v>1134</v>
      </c>
      <c r="F24" s="2340" t="s">
        <v>1130</v>
      </c>
      <c r="G24" s="2340"/>
      <c r="H24" s="2340"/>
      <c r="I24" s="2340"/>
      <c r="J24" s="2340"/>
      <c r="K24" s="2340"/>
      <c r="L24" s="2341"/>
      <c r="M24" s="69"/>
      <c r="N24" s="69"/>
      <c r="O24" s="69"/>
      <c r="P24" s="69"/>
      <c r="Q24" s="69"/>
      <c r="R24" s="69"/>
      <c r="S24" s="69"/>
      <c r="T24" s="69"/>
      <c r="U24" s="69"/>
      <c r="V24" s="69"/>
      <c r="W24" s="69"/>
    </row>
    <row r="25" spans="1:23" s="3" customFormat="1" ht="93.75" customHeight="1" x14ac:dyDescent="0.2">
      <c r="A25" s="2317" t="str">
        <f>IF('PR_Grant Management_2'!A23="","",'PR_Grant Management_2'!A23)</f>
        <v xml:space="preserve">The Principal Recipient shall maintian, management capacity sufficient for program implementation through the term of Grant, based on the results of periodic assessment of the program by The Global Fund. Such management capacity will ensure adequate staffing including among other things, the position of  (1) program officer, (2) M&amp; E Coordinator, (3) Finance Officer/Accoutant (4) Project Manager </v>
      </c>
      <c r="B25" s="2318"/>
      <c r="C25" s="2319"/>
      <c r="D25" s="393" t="str">
        <f>IF('PR_Grant Management_2'!F23="","",'PR_Grant Management_2'!F23)</f>
        <v>Yes</v>
      </c>
      <c r="E25" s="473" t="s">
        <v>1134</v>
      </c>
      <c r="F25" s="2340" t="s">
        <v>1131</v>
      </c>
      <c r="G25" s="2340"/>
      <c r="H25" s="2340"/>
      <c r="I25" s="2340"/>
      <c r="J25" s="2340"/>
      <c r="K25" s="2340"/>
      <c r="L25" s="2341"/>
      <c r="M25" s="69"/>
      <c r="N25" s="69"/>
      <c r="O25" s="69"/>
      <c r="P25" s="69"/>
      <c r="Q25" s="69"/>
      <c r="R25" s="69"/>
      <c r="S25" s="69"/>
      <c r="T25" s="69"/>
      <c r="U25" s="69"/>
      <c r="V25" s="69"/>
      <c r="W25" s="69"/>
    </row>
    <row r="26" spans="1:23" s="3" customFormat="1" ht="79.5" customHeight="1" x14ac:dyDescent="0.2">
      <c r="A26" s="2317" t="str">
        <f>IF('PR_Grant Management_2'!A24="","",'PR_Grant Management_2'!A24)</f>
        <v>No later than 31 October 2010, the Principal Recipient shall deliver to the Global Fund, in form and substance satisfactory to the Global Fund, a detailed, quarterly budget for years 4 and 5, including detailed break downs per cost categories, Service Delivery Areas and per Sub-recipient, as well as assumptions explaining all lump sums.</v>
      </c>
      <c r="B26" s="2318"/>
      <c r="C26" s="2319"/>
      <c r="D26" s="393" t="str">
        <f>IF('PR_Grant Management_2'!F24="","",'PR_Grant Management_2'!F24)</f>
        <v>Yes</v>
      </c>
      <c r="E26" s="473" t="s">
        <v>1134</v>
      </c>
      <c r="F26" s="2340" t="s">
        <v>1132</v>
      </c>
      <c r="G26" s="2340"/>
      <c r="H26" s="2340"/>
      <c r="I26" s="2340"/>
      <c r="J26" s="2340"/>
      <c r="K26" s="2340"/>
      <c r="L26" s="2341"/>
      <c r="M26" s="69"/>
      <c r="N26" s="69"/>
      <c r="O26" s="69"/>
      <c r="P26" s="69"/>
      <c r="Q26" s="69"/>
      <c r="R26" s="69"/>
      <c r="S26" s="69"/>
      <c r="T26" s="69"/>
      <c r="U26" s="69"/>
      <c r="V26" s="69"/>
      <c r="W26" s="69"/>
    </row>
    <row r="27" spans="1:23" s="3" customFormat="1" ht="59.25" customHeight="1" x14ac:dyDescent="0.2">
      <c r="A27" s="2349" t="str">
        <f>IF('PR_Grant Management_2'!A25="","",'PR_Grant Management_2'!A25)</f>
        <v>Following each procurement of health products the Principal Recipient shall update the informatin for key health products in the Global Fund's on-line Price and Quality Reporting (PQR) database, in accordance with Global Fund guidelines on Price and Quality Reporting.</v>
      </c>
      <c r="B27" s="2350"/>
      <c r="C27" s="2351"/>
      <c r="D27" s="1683"/>
      <c r="E27" s="473" t="s">
        <v>1134</v>
      </c>
      <c r="F27" s="2340" t="s">
        <v>1133</v>
      </c>
      <c r="G27" s="2340"/>
      <c r="H27" s="2340"/>
      <c r="I27" s="2340"/>
      <c r="J27" s="2340"/>
      <c r="K27" s="2340"/>
      <c r="L27" s="2341"/>
      <c r="M27" s="69"/>
      <c r="N27" s="69"/>
      <c r="O27" s="69"/>
      <c r="P27" s="69"/>
      <c r="Q27" s="69"/>
      <c r="R27" s="69"/>
      <c r="S27" s="69"/>
      <c r="T27" s="69"/>
      <c r="U27" s="69"/>
      <c r="V27" s="69"/>
      <c r="W27" s="69"/>
    </row>
    <row r="28" spans="1:23" s="359" customFormat="1" ht="17.25" customHeight="1" x14ac:dyDescent="0.2">
      <c r="A28" s="683"/>
      <c r="B28" s="684"/>
      <c r="C28" s="685"/>
      <c r="D28" s="684"/>
      <c r="E28" s="684"/>
      <c r="F28" s="684"/>
      <c r="G28" s="685"/>
      <c r="H28" s="685"/>
      <c r="I28" s="683"/>
      <c r="J28" s="685"/>
      <c r="K28" s="686"/>
      <c r="L28" s="685"/>
    </row>
    <row r="29" spans="1:23" s="3" customFormat="1" ht="25.5" customHeight="1" x14ac:dyDescent="0.2">
      <c r="A29" s="1859" t="s">
        <v>221</v>
      </c>
      <c r="B29" s="1860"/>
      <c r="C29" s="1860"/>
      <c r="D29" s="1860"/>
      <c r="E29" s="1860"/>
      <c r="F29" s="1860"/>
      <c r="G29" s="1860"/>
      <c r="H29" s="1860"/>
      <c r="I29" s="1860"/>
      <c r="J29" s="1860"/>
      <c r="K29" s="1860"/>
      <c r="L29" s="1860"/>
      <c r="M29" s="69"/>
      <c r="N29" s="69"/>
      <c r="O29" s="69"/>
      <c r="P29" s="69"/>
      <c r="Q29" s="69"/>
      <c r="R29" s="69"/>
      <c r="S29" s="69"/>
      <c r="T29" s="69"/>
      <c r="U29" s="69"/>
      <c r="V29" s="69"/>
      <c r="W29" s="69"/>
    </row>
    <row r="30" spans="1:23" s="3" customFormat="1" ht="5.25" customHeight="1" x14ac:dyDescent="0.25">
      <c r="A30" s="79"/>
      <c r="B30" s="77"/>
      <c r="C30" s="77"/>
      <c r="D30" s="77"/>
      <c r="E30" s="77"/>
      <c r="F30" s="77"/>
      <c r="G30" s="77"/>
      <c r="H30" s="77"/>
      <c r="I30" s="77"/>
      <c r="J30" s="77"/>
      <c r="K30" s="77"/>
      <c r="L30" s="77"/>
      <c r="M30" s="69"/>
      <c r="N30" s="69"/>
      <c r="O30" s="69"/>
      <c r="P30" s="69"/>
      <c r="Q30" s="69"/>
      <c r="R30" s="69"/>
      <c r="S30" s="69"/>
      <c r="T30" s="69"/>
      <c r="U30" s="69"/>
      <c r="V30" s="69"/>
      <c r="W30" s="69"/>
    </row>
    <row r="31" spans="1:23" s="3" customFormat="1" ht="24" customHeight="1" thickBot="1" x14ac:dyDescent="0.3">
      <c r="A31" s="2358" t="s">
        <v>346</v>
      </c>
      <c r="B31" s="2359"/>
      <c r="C31" s="2359"/>
      <c r="D31" s="2359"/>
      <c r="E31" s="2359"/>
      <c r="F31" s="2359"/>
      <c r="G31" s="2359"/>
      <c r="H31" s="2359"/>
      <c r="I31" s="2359"/>
      <c r="J31" s="2359"/>
      <c r="K31" s="2359"/>
      <c r="L31" s="2359"/>
      <c r="M31" s="69"/>
      <c r="N31" s="69"/>
      <c r="O31" s="69"/>
      <c r="P31" s="69"/>
      <c r="Q31" s="69"/>
      <c r="R31" s="69"/>
      <c r="S31" s="69"/>
      <c r="T31" s="69"/>
      <c r="U31" s="69"/>
      <c r="V31" s="69"/>
      <c r="W31" s="69"/>
    </row>
    <row r="32" spans="1:23" s="3" customFormat="1" ht="42" customHeight="1" x14ac:dyDescent="0.2">
      <c r="A32" s="1898" t="s">
        <v>127</v>
      </c>
      <c r="B32" s="1896"/>
      <c r="C32" s="1896"/>
      <c r="D32" s="2354" t="s">
        <v>149</v>
      </c>
      <c r="E32" s="2355"/>
      <c r="F32" s="2355"/>
      <c r="G32" s="2355"/>
      <c r="H32" s="2356"/>
      <c r="I32" s="2356"/>
      <c r="J32" s="2356"/>
      <c r="K32" s="2356"/>
      <c r="L32" s="2357"/>
      <c r="M32" s="69"/>
      <c r="N32" s="69"/>
      <c r="O32" s="69"/>
      <c r="P32" s="69"/>
      <c r="Q32" s="69"/>
      <c r="R32" s="69"/>
      <c r="S32" s="69"/>
      <c r="T32" s="69"/>
      <c r="U32" s="69"/>
      <c r="V32" s="69"/>
      <c r="W32" s="69"/>
    </row>
    <row r="33" spans="1:23" s="3" customFormat="1" ht="90.75" customHeight="1" x14ac:dyDescent="0.2">
      <c r="A33" s="2344" t="str">
        <f>IF('PR_Grant Management_2'!A34="","",'PR_Grant Management_2'!A34)</f>
        <v xml:space="preserve">The reporting templates have been developed for the SR's to reports on the activties. However, the SR's are not using the templates consistently. The report should be submitted on agreed reporting format. The focal persons from each SR should be trained to report using the new format </v>
      </c>
      <c r="B33" s="2345"/>
      <c r="C33" s="2345"/>
      <c r="D33" s="2346" t="s">
        <v>1135</v>
      </c>
      <c r="E33" s="2347"/>
      <c r="F33" s="2347"/>
      <c r="G33" s="2347"/>
      <c r="H33" s="2347"/>
      <c r="I33" s="2347"/>
      <c r="J33" s="2347"/>
      <c r="K33" s="2347"/>
      <c r="L33" s="2348"/>
      <c r="M33" s="69"/>
      <c r="N33" s="69"/>
      <c r="O33" s="69"/>
      <c r="P33" s="69"/>
      <c r="Q33" s="69"/>
      <c r="R33" s="69"/>
      <c r="S33" s="69"/>
      <c r="T33" s="69"/>
      <c r="U33" s="69"/>
      <c r="V33" s="69"/>
      <c r="W33" s="69"/>
    </row>
    <row r="34" spans="1:23" s="3" customFormat="1" ht="105.75" customHeight="1" x14ac:dyDescent="0.2">
      <c r="A34" s="2344" t="str">
        <f>IF('PR_Grant Management_2'!A35="","",'PR_Grant Management_2'!A35)</f>
        <v>We noted that the coordination between PMT, NACP &amp; SRs has improved and regular quarterly meeting is taking place. Nevertheless, the SRs continue to underperform and there is delay in submission of preogress reports</v>
      </c>
      <c r="B34" s="2345"/>
      <c r="C34" s="2345"/>
      <c r="D34" s="2346" t="s">
        <v>770</v>
      </c>
      <c r="E34" s="2347"/>
      <c r="F34" s="2347"/>
      <c r="G34" s="2347"/>
      <c r="H34" s="2347"/>
      <c r="I34" s="2347"/>
      <c r="J34" s="2347"/>
      <c r="K34" s="2347"/>
      <c r="L34" s="2348"/>
      <c r="M34" s="69"/>
      <c r="N34" s="69"/>
      <c r="O34" s="69"/>
      <c r="P34" s="69"/>
      <c r="Q34" s="69"/>
      <c r="R34" s="69"/>
      <c r="S34" s="69"/>
      <c r="T34" s="69"/>
      <c r="U34" s="69"/>
      <c r="V34" s="69"/>
      <c r="W34" s="69"/>
    </row>
    <row r="35" spans="1:23" s="3" customFormat="1" ht="111.75" customHeight="1" x14ac:dyDescent="0.2">
      <c r="A35" s="2344" t="str">
        <f>IF('PR_Grant Management_2'!A36="","",'PR_Grant Management_2'!A36)</f>
        <v>During the reporting period one indicator “Number of people with advanced HIV infection currently receiving antiretroviral therapy” achieved only 69% of the target. We noted that the program has started using the new criteria for starting treatment as recommended by WI-IO which is to start ART with a CD4 count of 350. We have been informed that the treatment manual has been revised to incorporate this new recommendation and is now ready for printing. Officially the implementation of new treatment criteria has been initiated, but the awareness among the service providers and people living with HIV (PLWHIV) is not optimum. We would like to request NACP to initiate the awareness among the service providers and PLWHIV</v>
      </c>
      <c r="B35" s="2345"/>
      <c r="C35" s="2345"/>
      <c r="D35" s="2346" t="s">
        <v>771</v>
      </c>
      <c r="E35" s="2347"/>
      <c r="F35" s="2347"/>
      <c r="G35" s="2347"/>
      <c r="H35" s="2347"/>
      <c r="I35" s="2347"/>
      <c r="J35" s="2347"/>
      <c r="K35" s="2347"/>
      <c r="L35" s="2348"/>
      <c r="M35" s="69"/>
      <c r="N35" s="69"/>
      <c r="O35" s="69"/>
      <c r="P35" s="69"/>
      <c r="Q35" s="69"/>
      <c r="R35" s="69"/>
      <c r="S35" s="69"/>
      <c r="T35" s="69"/>
      <c r="U35" s="69"/>
      <c r="V35" s="69"/>
      <c r="W35" s="69"/>
    </row>
    <row r="36" spans="1:23" s="3" customFormat="1" ht="92.25" customHeight="1" x14ac:dyDescent="0.2">
      <c r="A36" s="2344" t="str">
        <f>IF('PR_Grant Management_2'!A37="","",'PR_Grant Management_2'!A37)</f>
        <v xml:space="preserve">Targets In reference to the indicator ‘Number of teachers trained on life skill based HIV/AIDS education’ have been overachieved. We have been informed that the result was not correctly reported for this indicator. We would like to request NACP to segregate the training data and report with the Progress Update for the Quarter 15. In addition, we would also like to request to review the results for other training related indicators and conñrm the accuracy of the reported result. No disbursement for training will be made until the correct results are submitted. </v>
      </c>
      <c r="B36" s="2345"/>
      <c r="C36" s="2345"/>
      <c r="D36" s="2346" t="s">
        <v>772</v>
      </c>
      <c r="E36" s="2347"/>
      <c r="F36" s="2347"/>
      <c r="G36" s="2347"/>
      <c r="H36" s="2347"/>
      <c r="I36" s="2347"/>
      <c r="J36" s="2347"/>
      <c r="K36" s="2347"/>
      <c r="L36" s="2348"/>
      <c r="M36" s="69"/>
      <c r="N36" s="69"/>
      <c r="O36" s="69"/>
      <c r="P36" s="69"/>
      <c r="Q36" s="69"/>
      <c r="R36" s="69"/>
      <c r="S36" s="69"/>
      <c r="T36" s="69"/>
      <c r="U36" s="69"/>
      <c r="V36" s="69"/>
      <c r="W36" s="69"/>
    </row>
    <row r="37" spans="1:23" s="3" customFormat="1" ht="101.25" customHeight="1" x14ac:dyDescent="0.2">
      <c r="A37" s="2344" t="str">
        <f>IF('PR_Grant Management_2'!A38="","",'PR_Grant Management_2'!A38)</f>
        <v>During the reporting period a high number for achievement has been reported for the indicator ‘Number of most at risk individuals reached with education materials (primarily substance users and sex workers)’. We would like to request your good office to share the information with the Global Fund on the mapping of MARP.</v>
      </c>
      <c r="B37" s="2345"/>
      <c r="C37" s="2345"/>
      <c r="D37" s="2346" t="s">
        <v>1159</v>
      </c>
      <c r="E37" s="2347"/>
      <c r="F37" s="2347"/>
      <c r="G37" s="2347"/>
      <c r="H37" s="2347"/>
      <c r="I37" s="2347"/>
      <c r="J37" s="2347"/>
      <c r="K37" s="2347"/>
      <c r="L37" s="2348"/>
      <c r="M37" s="69"/>
      <c r="N37" s="69"/>
      <c r="O37" s="69"/>
      <c r="P37" s="69"/>
      <c r="Q37" s="69"/>
      <c r="R37" s="69"/>
      <c r="S37" s="69"/>
      <c r="T37" s="69"/>
      <c r="U37" s="69"/>
      <c r="V37" s="69"/>
      <c r="W37" s="69"/>
    </row>
    <row r="38" spans="1:23" s="3" customFormat="1" ht="116.25" customHeight="1" x14ac:dyDescent="0.2">
      <c r="A38" s="2344" t="str">
        <f>IF('PR_Grant Management_2'!A39="","",'PR_Grant Management_2'!A39)</f>
        <v>The analysis of cumulative variances from Q9 to Q14 shows that there is still a need for strengthening the ñnance management for this grant. There are instances, where expenditure overshoot budget and the NACP is not fully aware of this situation. In case the variances are known, they are not in a position to give proper explanations and justifications. The Global Fund provided training for finance personnel in 2010. We would like to request your good office to look into this and request the PMT for better coordination with finance and program units.</v>
      </c>
      <c r="B38" s="2345"/>
      <c r="C38" s="2345"/>
      <c r="D38" s="2346" t="s">
        <v>1160</v>
      </c>
      <c r="E38" s="2347"/>
      <c r="F38" s="2347"/>
      <c r="G38" s="2347"/>
      <c r="H38" s="2347"/>
      <c r="I38" s="2347"/>
      <c r="J38" s="2347"/>
      <c r="K38" s="2347"/>
      <c r="L38" s="2348"/>
      <c r="M38" s="69"/>
      <c r="N38" s="69"/>
      <c r="O38" s="69"/>
      <c r="P38" s="69"/>
      <c r="Q38" s="69"/>
      <c r="R38" s="69"/>
      <c r="S38" s="69"/>
      <c r="T38" s="69"/>
      <c r="U38" s="69"/>
      <c r="V38" s="69"/>
      <c r="W38" s="69"/>
    </row>
    <row r="39" spans="1:23" s="3" customFormat="1" ht="105.75" customHeight="1" x14ac:dyDescent="0.2">
      <c r="A39" s="2344" t="str">
        <f>IF('PR_Grant Management_2'!A40="","",'PR_Grant Management_2'!A40)</f>
        <v>Surveillance strategy has not included armed forces personnel as one of the target groups although they are one of the high risk groups. We would like to encourage both NACP and PMT to initiate the discussion of inclusion of armed forces in the surveillance strategy. We would like to request your good  to discuss this issue with armed forces. In addition, the technical partners (WHO, UNAIDS) can be also be consulted.</v>
      </c>
      <c r="B39" s="2345"/>
      <c r="C39" s="2345"/>
      <c r="D39" s="2346" t="s">
        <v>773</v>
      </c>
      <c r="E39" s="2347"/>
      <c r="F39" s="2347"/>
      <c r="G39" s="2347"/>
      <c r="H39" s="2347"/>
      <c r="I39" s="2347"/>
      <c r="J39" s="2347"/>
      <c r="K39" s="2347"/>
      <c r="L39" s="2348"/>
      <c r="M39" s="69"/>
      <c r="N39" s="69"/>
      <c r="O39" s="69"/>
      <c r="P39" s="69"/>
      <c r="Q39" s="69"/>
      <c r="R39" s="69"/>
      <c r="S39" s="69"/>
      <c r="T39" s="69"/>
      <c r="U39" s="69"/>
      <c r="V39" s="69"/>
      <c r="W39" s="69"/>
    </row>
    <row r="40" spans="1:23" s="3" customFormat="1" ht="101.25" customHeight="1" x14ac:dyDescent="0.2">
      <c r="A40" s="2344" t="str">
        <f>IF('PR_Grant Management_2'!A41="","",'PR_Grant Management_2'!A41)</f>
        <v>Reporting on most at risk individuals reached with education materials needs to be improved. Data is not segregated according to risk groups. All people who visit the HISC's are reported as most at risk individuals. We would recommend the program to strengthen the reporting system and segregate data accordingly. This would help the program to design an effective implementation</v>
      </c>
      <c r="B40" s="2345"/>
      <c r="C40" s="2345"/>
      <c r="D40" s="2346" t="s">
        <v>774</v>
      </c>
      <c r="E40" s="2347"/>
      <c r="F40" s="2347"/>
      <c r="G40" s="2347"/>
      <c r="H40" s="2347"/>
      <c r="I40" s="2347"/>
      <c r="J40" s="2347"/>
      <c r="K40" s="2347"/>
      <c r="L40" s="2348"/>
      <c r="M40" s="69"/>
      <c r="N40" s="69"/>
      <c r="O40" s="69"/>
      <c r="P40" s="69"/>
      <c r="Q40" s="69"/>
      <c r="R40" s="69"/>
      <c r="S40" s="69"/>
      <c r="T40" s="69"/>
      <c r="U40" s="69"/>
      <c r="V40" s="69"/>
      <c r="W40" s="69"/>
    </row>
    <row r="41" spans="1:23" s="3" customFormat="1" ht="73.5" customHeight="1" x14ac:dyDescent="0.2">
      <c r="A41" s="2344" t="str">
        <f>IF('PR_Grant Management_2'!A44="","",'PR_Grant Management_2'!A44)</f>
        <v>Capacity of the PHPM needs to be strengthened. The Program unit (NACP) and the DVED should coordinate on regular basis for procurement. In this case PMT needs to be more proactive for an effective coordination.</v>
      </c>
      <c r="B41" s="2345"/>
      <c r="C41" s="2345"/>
      <c r="D41" s="2346" t="s">
        <v>1161</v>
      </c>
      <c r="E41" s="2347"/>
      <c r="F41" s="2347"/>
      <c r="G41" s="2347"/>
      <c r="H41" s="2347"/>
      <c r="I41" s="2347"/>
      <c r="J41" s="2347"/>
      <c r="K41" s="2347"/>
      <c r="L41" s="2348"/>
      <c r="M41" s="69"/>
      <c r="N41" s="69"/>
      <c r="O41" s="69"/>
      <c r="P41" s="69"/>
      <c r="Q41" s="69"/>
      <c r="R41" s="69"/>
      <c r="S41" s="69"/>
      <c r="T41" s="69"/>
      <c r="U41" s="69"/>
      <c r="V41" s="69"/>
      <c r="W41" s="69"/>
    </row>
    <row r="42" spans="1:23" s="31" customFormat="1" ht="73.5" customHeight="1" x14ac:dyDescent="0.2">
      <c r="A42" s="896"/>
      <c r="B42" s="687"/>
      <c r="C42" s="688"/>
      <c r="D42" s="688"/>
      <c r="E42" s="689"/>
      <c r="F42" s="690"/>
      <c r="G42" s="690"/>
      <c r="H42" s="690"/>
      <c r="I42" s="691"/>
      <c r="J42" s="687"/>
      <c r="K42" s="689"/>
      <c r="L42" s="688"/>
      <c r="M42" s="69"/>
      <c r="N42" s="69"/>
      <c r="O42" s="69"/>
      <c r="P42" s="69"/>
      <c r="Q42" s="69"/>
      <c r="R42" s="69"/>
      <c r="S42" s="69"/>
      <c r="T42" s="69"/>
      <c r="U42" s="69"/>
      <c r="V42" s="69"/>
      <c r="W42" s="69"/>
    </row>
    <row r="43" spans="1:23" s="72" customFormat="1" x14ac:dyDescent="0.2">
      <c r="J43" s="538"/>
      <c r="M43" s="69"/>
      <c r="N43" s="69"/>
      <c r="O43" s="69"/>
      <c r="P43" s="69"/>
      <c r="Q43" s="69"/>
      <c r="R43" s="69"/>
      <c r="S43" s="69"/>
      <c r="T43" s="69"/>
      <c r="U43" s="69"/>
      <c r="V43" s="69"/>
      <c r="W43" s="69"/>
    </row>
    <row r="44" spans="1:23" s="535" customFormat="1" ht="25.5" customHeight="1" x14ac:dyDescent="0.2">
      <c r="A44" s="2352" t="s">
        <v>222</v>
      </c>
      <c r="B44" s="2352"/>
      <c r="C44" s="2352"/>
      <c r="D44" s="2352"/>
      <c r="E44" s="2352"/>
      <c r="F44" s="2352"/>
      <c r="G44" s="2352"/>
      <c r="H44" s="2352"/>
      <c r="I44" s="2352"/>
      <c r="J44" s="2352"/>
      <c r="K44" s="2352"/>
      <c r="L44" s="2352"/>
      <c r="M44" s="992"/>
      <c r="N44" s="992"/>
      <c r="O44" s="992"/>
      <c r="P44" s="992"/>
      <c r="Q44" s="992"/>
      <c r="R44" s="992"/>
      <c r="S44" s="992"/>
      <c r="T44" s="992"/>
      <c r="U44" s="992"/>
      <c r="V44" s="992"/>
      <c r="W44" s="992"/>
    </row>
    <row r="45" spans="1:23" s="612" customFormat="1" ht="37.5" customHeight="1" thickBot="1" x14ac:dyDescent="0.25">
      <c r="A45" s="1881" t="s">
        <v>537</v>
      </c>
      <c r="B45" s="1881"/>
      <c r="C45" s="1881"/>
      <c r="D45" s="1881"/>
      <c r="E45" s="1881"/>
      <c r="F45" s="1881"/>
      <c r="G45" s="1881"/>
      <c r="H45" s="1881"/>
      <c r="I45" s="1881"/>
      <c r="J45" s="1881"/>
      <c r="K45" s="1881"/>
      <c r="L45" s="2372"/>
      <c r="M45" s="992"/>
      <c r="N45" s="992"/>
      <c r="O45" s="992"/>
      <c r="P45" s="992"/>
      <c r="Q45" s="992"/>
      <c r="R45" s="992"/>
      <c r="S45" s="992"/>
      <c r="T45" s="992"/>
      <c r="U45" s="992"/>
      <c r="V45" s="992"/>
      <c r="W45" s="992"/>
    </row>
    <row r="46" spans="1:23" s="612" customFormat="1" ht="28.5" customHeight="1" thickBot="1" x14ac:dyDescent="0.25">
      <c r="A46" s="741"/>
      <c r="B46" s="742"/>
      <c r="C46" s="2370" t="s">
        <v>147</v>
      </c>
      <c r="D46" s="2371"/>
      <c r="E46" s="2367" t="s">
        <v>148</v>
      </c>
      <c r="F46" s="2368"/>
      <c r="G46" s="2368"/>
      <c r="H46" s="2368"/>
      <c r="I46" s="2368"/>
      <c r="J46" s="2368"/>
      <c r="K46" s="2368"/>
      <c r="L46" s="2369"/>
      <c r="M46" s="992"/>
      <c r="N46" s="992"/>
      <c r="O46" s="992"/>
      <c r="P46" s="992"/>
      <c r="Q46" s="992"/>
      <c r="R46" s="992"/>
      <c r="S46" s="992"/>
      <c r="T46" s="992"/>
      <c r="U46" s="992"/>
      <c r="V46" s="992"/>
      <c r="W46" s="992"/>
    </row>
    <row r="47" spans="1:23" s="535" customFormat="1" ht="23.25" customHeight="1" x14ac:dyDescent="0.2">
      <c r="A47" s="1898" t="s">
        <v>568</v>
      </c>
      <c r="B47" s="2363"/>
      <c r="C47" s="511" t="s">
        <v>400</v>
      </c>
      <c r="D47" s="511" t="s">
        <v>354</v>
      </c>
      <c r="E47" s="613" t="s">
        <v>400</v>
      </c>
      <c r="F47" s="1820" t="s">
        <v>354</v>
      </c>
      <c r="G47" s="2353"/>
      <c r="H47" s="2353"/>
      <c r="I47" s="2353"/>
      <c r="J47" s="2361" t="s">
        <v>569</v>
      </c>
      <c r="K47" s="2361"/>
      <c r="L47" s="2362"/>
      <c r="M47" s="992"/>
      <c r="N47" s="992"/>
      <c r="O47" s="992"/>
      <c r="P47" s="992"/>
      <c r="Q47" s="992"/>
      <c r="R47" s="992"/>
      <c r="S47" s="992"/>
      <c r="T47" s="992"/>
      <c r="U47" s="992"/>
      <c r="V47" s="992"/>
      <c r="W47" s="992"/>
    </row>
    <row r="48" spans="1:23" s="535" customFormat="1" ht="41.25" customHeight="1" x14ac:dyDescent="0.2">
      <c r="A48" s="2375" t="s">
        <v>126</v>
      </c>
      <c r="B48" s="2376"/>
      <c r="C48" s="833">
        <f>IF('PR_Grant Management_2'!E54="","",'PR_Grant Management_2'!E54)</f>
        <v>40908</v>
      </c>
      <c r="D48" s="834" t="str">
        <f>IF('PR_Grant Management_2'!F54="","",'PR_Grant Management_2'!F54)</f>
        <v>Submitted to GF</v>
      </c>
      <c r="E48" s="886">
        <v>40908</v>
      </c>
      <c r="F48" s="2360" t="s">
        <v>713</v>
      </c>
      <c r="G48" s="2360"/>
      <c r="H48" s="2360"/>
      <c r="I48" s="2360"/>
      <c r="J48" s="2364" t="s">
        <v>1137</v>
      </c>
      <c r="K48" s="2365"/>
      <c r="L48" s="2366"/>
      <c r="M48" s="992"/>
      <c r="N48" s="992"/>
      <c r="O48" s="992"/>
      <c r="P48" s="992"/>
      <c r="Q48" s="992"/>
      <c r="R48" s="992"/>
      <c r="S48" s="992"/>
      <c r="T48" s="992"/>
      <c r="U48" s="992"/>
      <c r="V48" s="992"/>
      <c r="W48" s="992"/>
    </row>
    <row r="49" spans="1:23" s="535" customFormat="1" ht="41.25" customHeight="1" thickBot="1" x14ac:dyDescent="0.25">
      <c r="A49" s="2377" t="s">
        <v>567</v>
      </c>
      <c r="B49" s="2378"/>
      <c r="C49" s="1298">
        <f>IF('PR_Grant Management_2'!E55="","",'PR_Grant Management_2'!E55)</f>
        <v>40939</v>
      </c>
      <c r="D49" s="1299" t="str">
        <f>IF('PR_Grant Management_2'!F55="","",'PR_Grant Management_2'!F55)</f>
        <v>Submitted to GF</v>
      </c>
      <c r="E49" s="1300">
        <v>40617</v>
      </c>
      <c r="F49" s="2379" t="s">
        <v>710</v>
      </c>
      <c r="G49" s="2379"/>
      <c r="H49" s="2379"/>
      <c r="I49" s="2379"/>
      <c r="J49" s="2382" t="s">
        <v>1136</v>
      </c>
      <c r="K49" s="2383"/>
      <c r="L49" s="2384"/>
      <c r="M49" s="992"/>
      <c r="N49" s="992"/>
      <c r="O49" s="992"/>
      <c r="P49" s="992"/>
      <c r="Q49" s="992"/>
      <c r="R49" s="992"/>
      <c r="S49" s="992"/>
      <c r="T49" s="992"/>
      <c r="U49" s="992"/>
      <c r="V49" s="992"/>
      <c r="W49" s="992"/>
    </row>
    <row r="50" spans="1:23" ht="15" customHeight="1" x14ac:dyDescent="0.2">
      <c r="A50" s="865"/>
      <c r="B50" s="865"/>
      <c r="C50" s="865"/>
      <c r="D50" s="865"/>
      <c r="E50" s="865"/>
      <c r="F50" s="865"/>
      <c r="G50" s="865"/>
      <c r="H50" s="865"/>
      <c r="I50" s="865"/>
      <c r="J50" s="1025"/>
      <c r="K50" s="865"/>
      <c r="L50" s="865"/>
    </row>
    <row r="61" spans="1:23" x14ac:dyDescent="0.2">
      <c r="J61" s="2373"/>
      <c r="K61" s="2374"/>
    </row>
    <row r="62" spans="1:23" ht="14.25" x14ac:dyDescent="0.2">
      <c r="F62" s="2373"/>
      <c r="G62" s="2374"/>
      <c r="J62" s="2380"/>
      <c r="K62" s="2381"/>
    </row>
    <row r="63" spans="1:23" ht="14.25" x14ac:dyDescent="0.2">
      <c r="F63" s="2373"/>
      <c r="G63" s="2374"/>
      <c r="J63" s="2380"/>
      <c r="K63" s="2381"/>
    </row>
    <row r="64" spans="1:23" ht="14.25" x14ac:dyDescent="0.2">
      <c r="F64" s="2373"/>
      <c r="G64" s="2374"/>
      <c r="J64" s="2380"/>
      <c r="K64" s="2381"/>
    </row>
    <row r="65" spans="6:11" ht="14.25" x14ac:dyDescent="0.2">
      <c r="F65" s="2373"/>
      <c r="G65" s="2374"/>
      <c r="J65" s="2380"/>
      <c r="K65" s="2381"/>
    </row>
    <row r="66" spans="6:11" ht="14.25" x14ac:dyDescent="0.2">
      <c r="F66" s="2373"/>
      <c r="G66" s="2374"/>
      <c r="J66" s="2380"/>
      <c r="K66" s="2381"/>
    </row>
    <row r="67" spans="6:11" ht="14.25" x14ac:dyDescent="0.2">
      <c r="F67" s="2373"/>
      <c r="G67" s="2374"/>
      <c r="J67" s="2380"/>
      <c r="K67" s="2381"/>
    </row>
    <row r="68" spans="6:11" x14ac:dyDescent="0.2">
      <c r="F68" s="2373"/>
      <c r="G68" s="2374"/>
    </row>
  </sheetData>
  <sheetProtection formatCells="0" formatColumns="0" formatRows="0" insertRows="0"/>
  <customSheetViews>
    <customSheetView guid="{E26F941C-F347-432D-B4B3-73B25F002075}" scale="65" fitToPage="1" hiddenColumns="1">
      <selection activeCell="E42" sqref="E42"/>
      <pageMargins left="0.55000000000000004" right="0.52" top="0.85" bottom="0.98425196850393704" header="0.51181102362204722" footer="0.51181102362204722"/>
      <printOptions horizontalCentered="1"/>
      <pageSetup paperSize="9" scale="54" orientation="landscape" cellComments="asDisplayed" r:id="rId1"/>
      <headerFooter alignWithMargins="0">
        <oddFooter>&amp;L&amp;9SD 3.1A - Form, Ongoing DR/PU and LFA Review and Recommendation_v2.1 February 2006&amp;R&amp;9Page &amp;P of &amp;N</oddFooter>
      </headerFooter>
    </customSheetView>
  </customSheetViews>
  <mergeCells count="84">
    <mergeCell ref="J61:K61"/>
    <mergeCell ref="F49:I49"/>
    <mergeCell ref="J62:K62"/>
    <mergeCell ref="F62:G62"/>
    <mergeCell ref="J67:K67"/>
    <mergeCell ref="J65:K65"/>
    <mergeCell ref="J66:K66"/>
    <mergeCell ref="F64:G64"/>
    <mergeCell ref="J63:K63"/>
    <mergeCell ref="J64:K64"/>
    <mergeCell ref="F63:G63"/>
    <mergeCell ref="J49:L49"/>
    <mergeCell ref="F68:G68"/>
    <mergeCell ref="F66:G66"/>
    <mergeCell ref="F67:G67"/>
    <mergeCell ref="F65:G65"/>
    <mergeCell ref="A48:B48"/>
    <mergeCell ref="A49:B49"/>
    <mergeCell ref="D39:L39"/>
    <mergeCell ref="A40:C40"/>
    <mergeCell ref="D40:L40"/>
    <mergeCell ref="F48:I48"/>
    <mergeCell ref="J47:L47"/>
    <mergeCell ref="A47:B47"/>
    <mergeCell ref="J48:L48"/>
    <mergeCell ref="A41:C41"/>
    <mergeCell ref="D41:L41"/>
    <mergeCell ref="E46:L46"/>
    <mergeCell ref="C46:D46"/>
    <mergeCell ref="A45:L45"/>
    <mergeCell ref="A39:C39"/>
    <mergeCell ref="D38:L38"/>
    <mergeCell ref="A38:C38"/>
    <mergeCell ref="A44:L44"/>
    <mergeCell ref="F47:I47"/>
    <mergeCell ref="A25:C25"/>
    <mergeCell ref="D35:L35"/>
    <mergeCell ref="A35:C35"/>
    <mergeCell ref="A37:C37"/>
    <mergeCell ref="D34:L34"/>
    <mergeCell ref="D36:L36"/>
    <mergeCell ref="D37:L37"/>
    <mergeCell ref="A36:C36"/>
    <mergeCell ref="D32:L32"/>
    <mergeCell ref="A32:C32"/>
    <mergeCell ref="A31:L31"/>
    <mergeCell ref="A29:L29"/>
    <mergeCell ref="A1:J1"/>
    <mergeCell ref="A3:B3"/>
    <mergeCell ref="C3:F3"/>
    <mergeCell ref="C6:F6"/>
    <mergeCell ref="A10:L10"/>
    <mergeCell ref="A34:C34"/>
    <mergeCell ref="D33:L33"/>
    <mergeCell ref="A33:C33"/>
    <mergeCell ref="F26:L26"/>
    <mergeCell ref="A27:C27"/>
    <mergeCell ref="F27:L27"/>
    <mergeCell ref="F25:L25"/>
    <mergeCell ref="A26:C26"/>
    <mergeCell ref="A23:C23"/>
    <mergeCell ref="A18:C18"/>
    <mergeCell ref="F18:L18"/>
    <mergeCell ref="F23:L23"/>
    <mergeCell ref="A24:C24"/>
    <mergeCell ref="F20:L20"/>
    <mergeCell ref="A20:C20"/>
    <mergeCell ref="F22:L22"/>
    <mergeCell ref="A22:C22"/>
    <mergeCell ref="F24:L24"/>
    <mergeCell ref="A21:C21"/>
    <mergeCell ref="F21:L21"/>
    <mergeCell ref="F19:L19"/>
    <mergeCell ref="A19:C19"/>
    <mergeCell ref="A11:L11"/>
    <mergeCell ref="A17:C17"/>
    <mergeCell ref="E14:L14"/>
    <mergeCell ref="F15:L15"/>
    <mergeCell ref="A15:C15"/>
    <mergeCell ref="F17:L17"/>
    <mergeCell ref="F16:L16"/>
    <mergeCell ref="A16:C16"/>
    <mergeCell ref="A12:L12"/>
    <mergeCell ref="A13:L13"/>
  </mergeCells>
  <phoneticPr fontId="29" type="noConversion"/>
  <conditionalFormatting sqref="C44:E44">
    <cfRule type="cellIs" dxfId="30" priority="37" stopIfTrue="1" operator="notEqual">
      <formula>B44</formula>
    </cfRule>
    <cfRule type="cellIs" dxfId="29" priority="38" stopIfTrue="1" operator="notEqual">
      <formula>A44</formula>
    </cfRule>
  </conditionalFormatting>
  <conditionalFormatting sqref="B48:B49 B44">
    <cfRule type="cellIs" dxfId="28" priority="33" stopIfTrue="1" operator="notEqual">
      <formula>A44</formula>
    </cfRule>
    <cfRule type="cellIs" dxfId="27" priority="34" stopIfTrue="1" operator="notEqual">
      <formula>#REF!</formula>
    </cfRule>
  </conditionalFormatting>
  <conditionalFormatting sqref="A44:A45 A47:A49 A28">
    <cfRule type="cellIs" dxfId="26" priority="50" stopIfTrue="1" operator="notEqual">
      <formula>#REF!</formula>
    </cfRule>
    <cfRule type="cellIs" dxfId="25" priority="51" stopIfTrue="1" operator="notEqual">
      <formula>#REF!</formula>
    </cfRule>
  </conditionalFormatting>
  <conditionalFormatting sqref="D42:I42 A33:A42">
    <cfRule type="cellIs" dxfId="24" priority="55" stopIfTrue="1" operator="notEqual">
      <formula>#REF!</formula>
    </cfRule>
  </conditionalFormatting>
  <conditionalFormatting sqref="A27 A16:C26">
    <cfRule type="cellIs" dxfId="23" priority="67" stopIfTrue="1" operator="notEqual">
      <formula>#REF!</formula>
    </cfRule>
  </conditionalFormatting>
  <dataValidations count="2">
    <dataValidation type="list" allowBlank="1" showInputMessage="1" showErrorMessage="1" sqref="J62:K67 E28 E16:E26">
      <formula1>"Met,Unmet - In Progress, Unmet - Not started"</formula1>
    </dataValidation>
    <dataValidation type="list" allowBlank="1" showInputMessage="1" showErrorMessage="1" sqref="F48:I49">
      <formula1>"Submitted to GF, Preparation on track, Overdue"</formula1>
    </dataValidation>
  </dataValidations>
  <printOptions horizontalCentered="1"/>
  <pageMargins left="0.74803149606299213" right="0.74803149606299213" top="0.59055118110236227" bottom="0.78740157480314965" header="0.51181102362204722" footer="0.51181102362204722"/>
  <pageSetup paperSize="9" scale="59" fitToHeight="0" orientation="landscape" cellComments="asDisplayed" r:id="rId2"/>
  <headerFooter alignWithMargins="0">
    <oddFooter>&amp;L&amp;9&amp;F&amp;C&amp;A&amp;R&amp;9Page &amp;P of &amp;N</oddFooter>
  </headerFooter>
  <rowBreaks count="1" manualBreakCount="1">
    <brk id="27" max="1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IE76"/>
  <sheetViews>
    <sheetView view="pageBreakPreview" topLeftCell="A6" zoomScale="99" zoomScaleNormal="55" zoomScaleSheetLayoutView="99" workbookViewId="0">
      <selection activeCell="D13" sqref="D13"/>
    </sheetView>
  </sheetViews>
  <sheetFormatPr defaultColWidth="0" defaultRowHeight="12.75" x14ac:dyDescent="0.2"/>
  <cols>
    <col min="1" max="1" width="23.140625" style="69" customWidth="1"/>
    <col min="2" max="2" width="32.28515625" style="69" customWidth="1"/>
    <col min="3" max="3" width="18.85546875" style="69" customWidth="1"/>
    <col min="4" max="4" width="16" style="69" customWidth="1"/>
    <col min="5" max="5" width="15.85546875" style="69" customWidth="1"/>
    <col min="6" max="6" width="27.140625" style="69" customWidth="1"/>
    <col min="7" max="7" width="48.7109375" style="69" customWidth="1"/>
    <col min="8" max="8" width="24.7109375" style="69" customWidth="1"/>
    <col min="9" max="9" width="20.140625" style="69" customWidth="1"/>
    <col min="10" max="10" width="14.42578125" style="69" customWidth="1"/>
    <col min="11" max="11" width="75.140625" style="69" customWidth="1"/>
    <col min="12" max="12" width="18.5703125" style="83" customWidth="1"/>
    <col min="13" max="25" width="9.140625" style="69" hidden="1" customWidth="1"/>
    <col min="26" max="239" width="9.140625" style="69" customWidth="1"/>
    <col min="240" max="16384" width="0" style="69" hidden="1"/>
  </cols>
  <sheetData>
    <row r="1" spans="1:239" s="3" customFormat="1" ht="25.5" customHeight="1" x14ac:dyDescent="0.35">
      <c r="A1" s="2161" t="s">
        <v>629</v>
      </c>
      <c r="B1" s="2161"/>
      <c r="C1" s="2161"/>
      <c r="D1" s="2161"/>
      <c r="E1" s="2161"/>
      <c r="F1" s="2161"/>
      <c r="G1" s="2161"/>
      <c r="H1" s="2161"/>
      <c r="I1" s="2161"/>
      <c r="J1" s="2161"/>
      <c r="K1" s="2161"/>
      <c r="L1" s="1030"/>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69"/>
      <c r="EZ1" s="69"/>
      <c r="FA1" s="69"/>
      <c r="FB1" s="69"/>
      <c r="FC1" s="69"/>
      <c r="FD1" s="69"/>
      <c r="FE1" s="69"/>
      <c r="FF1" s="69"/>
      <c r="FG1" s="69"/>
      <c r="FH1" s="69"/>
      <c r="FI1" s="69"/>
      <c r="FJ1" s="69"/>
      <c r="FK1" s="69"/>
      <c r="FL1" s="69"/>
      <c r="FM1" s="69"/>
      <c r="FN1" s="69"/>
      <c r="FO1" s="69"/>
      <c r="FP1" s="69"/>
      <c r="FQ1" s="69"/>
      <c r="FR1" s="69"/>
      <c r="FS1" s="69"/>
      <c r="FT1" s="69"/>
      <c r="FU1" s="69"/>
      <c r="FV1" s="69"/>
      <c r="FW1" s="69"/>
      <c r="FX1" s="69"/>
      <c r="FY1" s="69"/>
      <c r="FZ1" s="69"/>
      <c r="GA1" s="69"/>
      <c r="GB1" s="69"/>
      <c r="GC1" s="69"/>
      <c r="GD1" s="69"/>
      <c r="GE1" s="69"/>
      <c r="GF1" s="69"/>
      <c r="GG1" s="69"/>
      <c r="GH1" s="69"/>
      <c r="GI1" s="69"/>
      <c r="GJ1" s="69"/>
      <c r="GK1" s="69"/>
      <c r="GL1" s="69"/>
      <c r="GM1" s="69"/>
      <c r="GN1" s="69"/>
      <c r="GO1" s="69"/>
      <c r="GP1" s="69"/>
      <c r="GQ1" s="69"/>
      <c r="GR1" s="69"/>
      <c r="GS1" s="69"/>
      <c r="GT1" s="69"/>
      <c r="GU1" s="69"/>
      <c r="GV1" s="69"/>
      <c r="GW1" s="69"/>
      <c r="GX1" s="69"/>
      <c r="GY1" s="69"/>
      <c r="GZ1" s="69"/>
      <c r="HA1" s="69"/>
      <c r="HB1" s="69"/>
      <c r="HC1" s="69"/>
      <c r="HD1" s="69"/>
      <c r="HE1" s="69"/>
      <c r="HF1" s="69"/>
      <c r="HG1" s="69"/>
      <c r="HH1" s="69"/>
      <c r="HI1" s="69"/>
      <c r="HJ1" s="69"/>
      <c r="HK1" s="69"/>
      <c r="HL1" s="69"/>
      <c r="HM1" s="69"/>
      <c r="HN1" s="69"/>
      <c r="HO1" s="69"/>
      <c r="HP1" s="69"/>
      <c r="HQ1" s="69"/>
      <c r="HR1" s="69"/>
      <c r="HS1" s="69"/>
      <c r="HT1" s="69"/>
      <c r="HU1" s="69"/>
      <c r="HV1" s="69"/>
      <c r="HW1" s="69"/>
      <c r="HX1" s="69"/>
      <c r="HY1" s="69"/>
      <c r="HZ1" s="69"/>
      <c r="IA1" s="69"/>
      <c r="IB1" s="69"/>
      <c r="IC1" s="69"/>
      <c r="ID1" s="69"/>
      <c r="IE1" s="69"/>
    </row>
    <row r="2" spans="1:239" s="13" customFormat="1" ht="27" customHeight="1" thickBot="1" x14ac:dyDescent="0.3">
      <c r="A2" s="98" t="s">
        <v>504</v>
      </c>
      <c r="B2" s="72"/>
      <c r="C2" s="72"/>
      <c r="D2" s="72"/>
      <c r="E2" s="72"/>
      <c r="F2" s="72"/>
      <c r="G2" s="72"/>
      <c r="H2" s="72"/>
      <c r="I2" s="72"/>
      <c r="J2" s="72"/>
      <c r="K2" s="72"/>
      <c r="L2" s="69"/>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row>
    <row r="3" spans="1:239" s="4" customFormat="1" ht="30" customHeight="1" thickBot="1" x14ac:dyDescent="0.25">
      <c r="A3" s="1742" t="s">
        <v>419</v>
      </c>
      <c r="B3" s="1801"/>
      <c r="C3" s="2400" t="str">
        <f>IF('LFA_Programmatic Progress_1A'!C7="","",'LFA_Programmatic Progress_1A'!C7)</f>
        <v>BTN-607-G03-H</v>
      </c>
      <c r="D3" s="2401"/>
      <c r="E3" s="2401"/>
      <c r="F3" s="2401"/>
      <c r="G3" s="2402"/>
      <c r="H3" s="73"/>
      <c r="I3" s="73"/>
      <c r="J3" s="73"/>
      <c r="K3" s="73"/>
      <c r="L3" s="69"/>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c r="BB3" s="220"/>
      <c r="BC3" s="220"/>
      <c r="BD3" s="220"/>
      <c r="BE3" s="220"/>
      <c r="BF3" s="220"/>
      <c r="BG3" s="220"/>
      <c r="BH3" s="220"/>
      <c r="BI3" s="220"/>
      <c r="BJ3" s="220"/>
      <c r="BK3" s="220"/>
      <c r="BL3" s="220"/>
      <c r="BM3" s="220"/>
      <c r="BN3" s="220"/>
      <c r="BO3" s="220"/>
      <c r="BP3" s="220"/>
      <c r="BQ3" s="220"/>
      <c r="BR3" s="220"/>
      <c r="BS3" s="220"/>
      <c r="BT3" s="220"/>
      <c r="BU3" s="220"/>
      <c r="BV3" s="220"/>
      <c r="BW3" s="220"/>
      <c r="BX3" s="220"/>
      <c r="BY3" s="220"/>
      <c r="BZ3" s="220"/>
      <c r="CA3" s="220"/>
      <c r="CB3" s="220"/>
      <c r="CC3" s="220"/>
      <c r="CD3" s="220"/>
      <c r="CE3" s="220"/>
      <c r="CF3" s="220"/>
      <c r="CG3" s="220"/>
      <c r="CH3" s="220"/>
      <c r="CI3" s="220"/>
      <c r="CJ3" s="220"/>
      <c r="CK3" s="220"/>
      <c r="CL3" s="220"/>
      <c r="CM3" s="220"/>
      <c r="CN3" s="220"/>
      <c r="CO3" s="220"/>
      <c r="CP3" s="220"/>
      <c r="CQ3" s="220"/>
      <c r="CR3" s="220"/>
      <c r="CS3" s="220"/>
      <c r="CT3" s="220"/>
      <c r="CU3" s="220"/>
      <c r="CV3" s="220"/>
      <c r="CW3" s="220"/>
      <c r="CX3" s="220"/>
      <c r="CY3" s="220"/>
      <c r="CZ3" s="220"/>
      <c r="DA3" s="220"/>
      <c r="DB3" s="220"/>
      <c r="DC3" s="220"/>
      <c r="DD3" s="220"/>
      <c r="DE3" s="220"/>
      <c r="DF3" s="220"/>
      <c r="DG3" s="220"/>
      <c r="DH3" s="220"/>
      <c r="DI3" s="220"/>
      <c r="DJ3" s="220"/>
      <c r="DK3" s="220"/>
      <c r="DL3" s="220"/>
      <c r="DM3" s="220"/>
      <c r="DN3" s="220"/>
      <c r="DO3" s="220"/>
      <c r="DP3" s="220"/>
      <c r="DQ3" s="220"/>
      <c r="DR3" s="220"/>
      <c r="DS3" s="220"/>
      <c r="DT3" s="220"/>
      <c r="DU3" s="220"/>
      <c r="DV3" s="220"/>
      <c r="DW3" s="220"/>
      <c r="DX3" s="220"/>
      <c r="DY3" s="220"/>
      <c r="DZ3" s="220"/>
      <c r="EA3" s="220"/>
      <c r="EB3" s="220"/>
      <c r="EC3" s="220"/>
      <c r="ED3" s="220"/>
      <c r="EE3" s="220"/>
      <c r="EF3" s="220"/>
      <c r="EG3" s="220"/>
      <c r="EH3" s="220"/>
      <c r="EI3" s="220"/>
      <c r="EJ3" s="220"/>
      <c r="EK3" s="220"/>
      <c r="EL3" s="220"/>
      <c r="EM3" s="220"/>
      <c r="EN3" s="220"/>
      <c r="EO3" s="220"/>
      <c r="EP3" s="220"/>
      <c r="EQ3" s="220"/>
      <c r="ER3" s="220"/>
      <c r="ES3" s="220"/>
      <c r="ET3" s="220"/>
      <c r="EU3" s="220"/>
      <c r="EV3" s="220"/>
      <c r="EW3" s="220"/>
      <c r="EX3" s="220"/>
      <c r="EY3" s="220"/>
      <c r="EZ3" s="220"/>
      <c r="FA3" s="220"/>
      <c r="FB3" s="220"/>
      <c r="FC3" s="220"/>
      <c r="FD3" s="220"/>
      <c r="FE3" s="220"/>
      <c r="FF3" s="220"/>
      <c r="FG3" s="220"/>
      <c r="FH3" s="220"/>
      <c r="FI3" s="220"/>
      <c r="FJ3" s="220"/>
      <c r="FK3" s="220"/>
      <c r="FL3" s="220"/>
      <c r="FM3" s="220"/>
      <c r="FN3" s="220"/>
      <c r="FO3" s="220"/>
      <c r="FP3" s="220"/>
      <c r="FQ3" s="220"/>
      <c r="FR3" s="220"/>
      <c r="FS3" s="220"/>
      <c r="FT3" s="220"/>
      <c r="FU3" s="220"/>
      <c r="FV3" s="220"/>
      <c r="FW3" s="220"/>
      <c r="FX3" s="220"/>
      <c r="FY3" s="220"/>
      <c r="FZ3" s="220"/>
      <c r="GA3" s="220"/>
      <c r="GB3" s="220"/>
      <c r="GC3" s="220"/>
      <c r="GD3" s="220"/>
      <c r="GE3" s="220"/>
      <c r="GF3" s="220"/>
      <c r="GG3" s="220"/>
      <c r="GH3" s="220"/>
      <c r="GI3" s="220"/>
      <c r="GJ3" s="220"/>
      <c r="GK3" s="220"/>
      <c r="GL3" s="220"/>
      <c r="GM3" s="220"/>
      <c r="GN3" s="220"/>
      <c r="GO3" s="220"/>
      <c r="GP3" s="220"/>
      <c r="GQ3" s="220"/>
      <c r="GR3" s="220"/>
      <c r="GS3" s="220"/>
      <c r="GT3" s="220"/>
      <c r="GU3" s="220"/>
      <c r="GV3" s="220"/>
      <c r="GW3" s="220"/>
      <c r="GX3" s="220"/>
      <c r="GY3" s="220"/>
      <c r="GZ3" s="220"/>
      <c r="HA3" s="220"/>
      <c r="HB3" s="220"/>
      <c r="HC3" s="220"/>
      <c r="HD3" s="220"/>
      <c r="HE3" s="220"/>
      <c r="HF3" s="220"/>
      <c r="HG3" s="220"/>
      <c r="HH3" s="220"/>
      <c r="HI3" s="220"/>
      <c r="HJ3" s="220"/>
      <c r="HK3" s="220"/>
      <c r="HL3" s="220"/>
      <c r="HM3" s="220"/>
      <c r="HN3" s="220"/>
      <c r="HO3" s="220"/>
      <c r="HP3" s="220"/>
      <c r="HQ3" s="220"/>
      <c r="HR3" s="220"/>
      <c r="HS3" s="220"/>
      <c r="HT3" s="220"/>
      <c r="HU3" s="220"/>
      <c r="HV3" s="220"/>
      <c r="HW3" s="220"/>
      <c r="HX3" s="220"/>
      <c r="HY3" s="220"/>
      <c r="HZ3" s="220"/>
      <c r="IA3" s="220"/>
      <c r="IB3" s="220"/>
      <c r="IC3" s="220"/>
      <c r="ID3" s="220"/>
      <c r="IE3" s="220"/>
    </row>
    <row r="4" spans="1:239" s="4" customFormat="1" ht="15" customHeight="1" x14ac:dyDescent="0.2">
      <c r="A4" s="492" t="s">
        <v>621</v>
      </c>
      <c r="B4" s="512"/>
      <c r="C4" s="1237" t="s">
        <v>627</v>
      </c>
      <c r="D4" s="2148" t="str">
        <f>IF('LFA_Programmatic Progress_1A'!D12="Select","",'LFA_Programmatic Progress_1A'!D12)</f>
        <v>Quarter</v>
      </c>
      <c r="E4" s="2398"/>
      <c r="F4" s="5" t="s">
        <v>628</v>
      </c>
      <c r="G4" s="47">
        <f>IF('LFA_Programmatic Progress_1A'!F12="Select","",'LFA_Programmatic Progress_1A'!F12)</f>
        <v>17</v>
      </c>
      <c r="H4" s="73"/>
      <c r="I4" s="220"/>
      <c r="J4" s="73"/>
      <c r="K4" s="73"/>
      <c r="L4" s="69"/>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220"/>
      <c r="BH4" s="220"/>
      <c r="BI4" s="220"/>
      <c r="BJ4" s="220"/>
      <c r="BK4" s="220"/>
      <c r="BL4" s="220"/>
      <c r="BM4" s="220"/>
      <c r="BN4" s="220"/>
      <c r="BO4" s="220"/>
      <c r="BP4" s="220"/>
      <c r="BQ4" s="220"/>
      <c r="BR4" s="220"/>
      <c r="BS4" s="220"/>
      <c r="BT4" s="220"/>
      <c r="BU4" s="220"/>
      <c r="BV4" s="220"/>
      <c r="BW4" s="220"/>
      <c r="BX4" s="220"/>
      <c r="BY4" s="220"/>
      <c r="BZ4" s="220"/>
      <c r="CA4" s="220"/>
      <c r="CB4" s="220"/>
      <c r="CC4" s="220"/>
      <c r="CD4" s="220"/>
      <c r="CE4" s="220"/>
      <c r="CF4" s="220"/>
      <c r="CG4" s="220"/>
      <c r="CH4" s="220"/>
      <c r="CI4" s="220"/>
      <c r="CJ4" s="220"/>
      <c r="CK4" s="220"/>
      <c r="CL4" s="220"/>
      <c r="CM4" s="220"/>
      <c r="CN4" s="220"/>
      <c r="CO4" s="220"/>
      <c r="CP4" s="220"/>
      <c r="CQ4" s="220"/>
      <c r="CR4" s="220"/>
      <c r="CS4" s="220"/>
      <c r="CT4" s="220"/>
      <c r="CU4" s="220"/>
      <c r="CV4" s="220"/>
      <c r="CW4" s="220"/>
      <c r="CX4" s="220"/>
      <c r="CY4" s="220"/>
      <c r="CZ4" s="220"/>
      <c r="DA4" s="220"/>
      <c r="DB4" s="220"/>
      <c r="DC4" s="220"/>
      <c r="DD4" s="220"/>
      <c r="DE4" s="220"/>
      <c r="DF4" s="220"/>
      <c r="DG4" s="220"/>
      <c r="DH4" s="220"/>
      <c r="DI4" s="220"/>
      <c r="DJ4" s="220"/>
      <c r="DK4" s="220"/>
      <c r="DL4" s="220"/>
      <c r="DM4" s="220"/>
      <c r="DN4" s="220"/>
      <c r="DO4" s="220"/>
      <c r="DP4" s="220"/>
      <c r="DQ4" s="220"/>
      <c r="DR4" s="220"/>
      <c r="DS4" s="220"/>
      <c r="DT4" s="220"/>
      <c r="DU4" s="220"/>
      <c r="DV4" s="220"/>
      <c r="DW4" s="220"/>
      <c r="DX4" s="220"/>
      <c r="DY4" s="220"/>
      <c r="DZ4" s="220"/>
      <c r="EA4" s="220"/>
      <c r="EB4" s="220"/>
      <c r="EC4" s="220"/>
      <c r="ED4" s="220"/>
      <c r="EE4" s="220"/>
      <c r="EF4" s="220"/>
      <c r="EG4" s="220"/>
      <c r="EH4" s="220"/>
      <c r="EI4" s="220"/>
      <c r="EJ4" s="220"/>
      <c r="EK4" s="220"/>
      <c r="EL4" s="220"/>
      <c r="EM4" s="220"/>
      <c r="EN4" s="220"/>
      <c r="EO4" s="220"/>
      <c r="EP4" s="220"/>
      <c r="EQ4" s="220"/>
      <c r="ER4" s="220"/>
      <c r="ES4" s="220"/>
      <c r="ET4" s="220"/>
      <c r="EU4" s="220"/>
      <c r="EV4" s="220"/>
      <c r="EW4" s="220"/>
      <c r="EX4" s="220"/>
      <c r="EY4" s="220"/>
      <c r="EZ4" s="220"/>
      <c r="FA4" s="220"/>
      <c r="FB4" s="220"/>
      <c r="FC4" s="220"/>
      <c r="FD4" s="220"/>
      <c r="FE4" s="220"/>
      <c r="FF4" s="220"/>
      <c r="FG4" s="220"/>
      <c r="FH4" s="220"/>
      <c r="FI4" s="220"/>
      <c r="FJ4" s="220"/>
      <c r="FK4" s="220"/>
      <c r="FL4" s="220"/>
      <c r="FM4" s="220"/>
      <c r="FN4" s="220"/>
      <c r="FO4" s="220"/>
      <c r="FP4" s="220"/>
      <c r="FQ4" s="220"/>
      <c r="FR4" s="220"/>
      <c r="FS4" s="220"/>
      <c r="FT4" s="220"/>
      <c r="FU4" s="220"/>
      <c r="FV4" s="220"/>
      <c r="FW4" s="220"/>
      <c r="FX4" s="220"/>
      <c r="FY4" s="220"/>
      <c r="FZ4" s="220"/>
      <c r="GA4" s="220"/>
      <c r="GB4" s="220"/>
      <c r="GC4" s="220"/>
      <c r="GD4" s="220"/>
      <c r="GE4" s="220"/>
      <c r="GF4" s="220"/>
      <c r="GG4" s="220"/>
      <c r="GH4" s="220"/>
      <c r="GI4" s="220"/>
      <c r="GJ4" s="220"/>
      <c r="GK4" s="220"/>
      <c r="GL4" s="220"/>
      <c r="GM4" s="220"/>
      <c r="GN4" s="220"/>
      <c r="GO4" s="220"/>
      <c r="GP4" s="220"/>
      <c r="GQ4" s="220"/>
      <c r="GR4" s="220"/>
      <c r="GS4" s="220"/>
      <c r="GT4" s="220"/>
      <c r="GU4" s="220"/>
      <c r="GV4" s="220"/>
      <c r="GW4" s="220"/>
      <c r="GX4" s="220"/>
      <c r="GY4" s="220"/>
      <c r="GZ4" s="220"/>
      <c r="HA4" s="220"/>
      <c r="HB4" s="220"/>
      <c r="HC4" s="220"/>
      <c r="HD4" s="220"/>
      <c r="HE4" s="220"/>
      <c r="HF4" s="220"/>
      <c r="HG4" s="220"/>
      <c r="HH4" s="220"/>
      <c r="HI4" s="220"/>
      <c r="HJ4" s="220"/>
      <c r="HK4" s="220"/>
      <c r="HL4" s="220"/>
      <c r="HM4" s="220"/>
      <c r="HN4" s="220"/>
      <c r="HO4" s="220"/>
      <c r="HP4" s="220"/>
      <c r="HQ4" s="220"/>
      <c r="HR4" s="220"/>
      <c r="HS4" s="220"/>
      <c r="HT4" s="220"/>
      <c r="HU4" s="220"/>
      <c r="HV4" s="220"/>
      <c r="HW4" s="220"/>
      <c r="HX4" s="220"/>
      <c r="HY4" s="220"/>
      <c r="HZ4" s="220"/>
      <c r="IA4" s="220"/>
      <c r="IB4" s="220"/>
      <c r="IC4" s="220"/>
      <c r="ID4" s="220"/>
      <c r="IE4" s="220"/>
    </row>
    <row r="5" spans="1:239" s="4" customFormat="1" ht="15" customHeight="1" x14ac:dyDescent="0.2">
      <c r="A5" s="513" t="s">
        <v>622</v>
      </c>
      <c r="B5" s="40"/>
      <c r="C5" s="1238" t="s">
        <v>590</v>
      </c>
      <c r="D5" s="2180">
        <f>IF('LFA_Programmatic Progress_1A'!D13="","",'LFA_Programmatic Progress_1A'!D13)</f>
        <v>40940</v>
      </c>
      <c r="E5" s="2399"/>
      <c r="F5" s="5" t="s">
        <v>608</v>
      </c>
      <c r="G5" s="520">
        <f>IF('LFA_Programmatic Progress_1A'!F13="","",'LFA_Programmatic Progress_1A'!F13)</f>
        <v>41029</v>
      </c>
      <c r="H5" s="220"/>
      <c r="I5" s="220"/>
      <c r="J5" s="220"/>
      <c r="K5" s="220"/>
      <c r="L5" s="69"/>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20"/>
      <c r="AZ5" s="220"/>
      <c r="BA5" s="220"/>
      <c r="BB5" s="220"/>
      <c r="BC5" s="220"/>
      <c r="BD5" s="220"/>
      <c r="BE5" s="220"/>
      <c r="BF5" s="220"/>
      <c r="BG5" s="220"/>
      <c r="BH5" s="220"/>
      <c r="BI5" s="220"/>
      <c r="BJ5" s="220"/>
      <c r="BK5" s="220"/>
      <c r="BL5" s="220"/>
      <c r="BM5" s="220"/>
      <c r="BN5" s="220"/>
      <c r="BO5" s="220"/>
      <c r="BP5" s="220"/>
      <c r="BQ5" s="220"/>
      <c r="BR5" s="220"/>
      <c r="BS5" s="220"/>
      <c r="BT5" s="220"/>
      <c r="BU5" s="220"/>
      <c r="BV5" s="220"/>
      <c r="BW5" s="220"/>
      <c r="BX5" s="220"/>
      <c r="BY5" s="220"/>
      <c r="BZ5" s="220"/>
      <c r="CA5" s="220"/>
      <c r="CB5" s="220"/>
      <c r="CC5" s="220"/>
      <c r="CD5" s="220"/>
      <c r="CE5" s="220"/>
      <c r="CF5" s="220"/>
      <c r="CG5" s="220"/>
      <c r="CH5" s="220"/>
      <c r="CI5" s="220"/>
      <c r="CJ5" s="220"/>
      <c r="CK5" s="220"/>
      <c r="CL5" s="220"/>
      <c r="CM5" s="220"/>
      <c r="CN5" s="220"/>
      <c r="CO5" s="220"/>
      <c r="CP5" s="220"/>
      <c r="CQ5" s="220"/>
      <c r="CR5" s="220"/>
      <c r="CS5" s="220"/>
      <c r="CT5" s="220"/>
      <c r="CU5" s="220"/>
      <c r="CV5" s="220"/>
      <c r="CW5" s="220"/>
      <c r="CX5" s="220"/>
      <c r="CY5" s="220"/>
      <c r="CZ5" s="220"/>
      <c r="DA5" s="220"/>
      <c r="DB5" s="220"/>
      <c r="DC5" s="220"/>
      <c r="DD5" s="220"/>
      <c r="DE5" s="220"/>
      <c r="DF5" s="220"/>
      <c r="DG5" s="220"/>
      <c r="DH5" s="220"/>
      <c r="DI5" s="220"/>
      <c r="DJ5" s="220"/>
      <c r="DK5" s="220"/>
      <c r="DL5" s="220"/>
      <c r="DM5" s="220"/>
      <c r="DN5" s="220"/>
      <c r="DO5" s="220"/>
      <c r="DP5" s="220"/>
      <c r="DQ5" s="220"/>
      <c r="DR5" s="220"/>
      <c r="DS5" s="220"/>
      <c r="DT5" s="220"/>
      <c r="DU5" s="220"/>
      <c r="DV5" s="220"/>
      <c r="DW5" s="220"/>
      <c r="DX5" s="220"/>
      <c r="DY5" s="220"/>
      <c r="DZ5" s="220"/>
      <c r="EA5" s="220"/>
      <c r="EB5" s="220"/>
      <c r="EC5" s="220"/>
      <c r="ED5" s="220"/>
      <c r="EE5" s="220"/>
      <c r="EF5" s="220"/>
      <c r="EG5" s="220"/>
      <c r="EH5" s="220"/>
      <c r="EI5" s="220"/>
      <c r="EJ5" s="220"/>
      <c r="EK5" s="220"/>
      <c r="EL5" s="220"/>
      <c r="EM5" s="220"/>
      <c r="EN5" s="220"/>
      <c r="EO5" s="220"/>
      <c r="EP5" s="220"/>
      <c r="EQ5" s="220"/>
      <c r="ER5" s="220"/>
      <c r="ES5" s="220"/>
      <c r="ET5" s="220"/>
      <c r="EU5" s="220"/>
      <c r="EV5" s="220"/>
      <c r="EW5" s="220"/>
      <c r="EX5" s="220"/>
      <c r="EY5" s="220"/>
      <c r="EZ5" s="220"/>
      <c r="FA5" s="220"/>
      <c r="FB5" s="220"/>
      <c r="FC5" s="220"/>
      <c r="FD5" s="220"/>
      <c r="FE5" s="220"/>
      <c r="FF5" s="220"/>
      <c r="FG5" s="220"/>
      <c r="FH5" s="220"/>
      <c r="FI5" s="220"/>
      <c r="FJ5" s="220"/>
      <c r="FK5" s="220"/>
      <c r="FL5" s="220"/>
      <c r="FM5" s="220"/>
      <c r="FN5" s="220"/>
      <c r="FO5" s="220"/>
      <c r="FP5" s="220"/>
      <c r="FQ5" s="220"/>
      <c r="FR5" s="220"/>
      <c r="FS5" s="220"/>
      <c r="FT5" s="220"/>
      <c r="FU5" s="220"/>
      <c r="FV5" s="220"/>
      <c r="FW5" s="220"/>
      <c r="FX5" s="220"/>
      <c r="FY5" s="220"/>
      <c r="FZ5" s="220"/>
      <c r="GA5" s="220"/>
      <c r="GB5" s="220"/>
      <c r="GC5" s="220"/>
      <c r="GD5" s="220"/>
      <c r="GE5" s="220"/>
      <c r="GF5" s="220"/>
      <c r="GG5" s="220"/>
      <c r="GH5" s="220"/>
      <c r="GI5" s="220"/>
      <c r="GJ5" s="220"/>
      <c r="GK5" s="220"/>
      <c r="GL5" s="220"/>
      <c r="GM5" s="220"/>
      <c r="GN5" s="220"/>
      <c r="GO5" s="220"/>
      <c r="GP5" s="220"/>
      <c r="GQ5" s="220"/>
      <c r="GR5" s="220"/>
      <c r="GS5" s="220"/>
      <c r="GT5" s="220"/>
      <c r="GU5" s="220"/>
      <c r="GV5" s="220"/>
      <c r="GW5" s="220"/>
      <c r="GX5" s="220"/>
      <c r="GY5" s="220"/>
      <c r="GZ5" s="220"/>
      <c r="HA5" s="220"/>
      <c r="HB5" s="220"/>
      <c r="HC5" s="220"/>
      <c r="HD5" s="220"/>
      <c r="HE5" s="220"/>
      <c r="HF5" s="220"/>
      <c r="HG5" s="220"/>
      <c r="HH5" s="220"/>
      <c r="HI5" s="220"/>
      <c r="HJ5" s="220"/>
      <c r="HK5" s="220"/>
      <c r="HL5" s="220"/>
      <c r="HM5" s="220"/>
      <c r="HN5" s="220"/>
      <c r="HO5" s="220"/>
      <c r="HP5" s="220"/>
      <c r="HQ5" s="220"/>
      <c r="HR5" s="220"/>
      <c r="HS5" s="220"/>
      <c r="HT5" s="220"/>
      <c r="HU5" s="220"/>
      <c r="HV5" s="220"/>
      <c r="HW5" s="220"/>
      <c r="HX5" s="220"/>
      <c r="HY5" s="220"/>
      <c r="HZ5" s="220"/>
      <c r="IA5" s="220"/>
      <c r="IB5" s="220"/>
      <c r="IC5" s="220"/>
      <c r="ID5" s="220"/>
      <c r="IE5" s="220"/>
    </row>
    <row r="6" spans="1:239" s="4" customFormat="1" ht="15" customHeight="1" thickBot="1" x14ac:dyDescent="0.25">
      <c r="A6" s="55" t="s">
        <v>623</v>
      </c>
      <c r="B6" s="167"/>
      <c r="C6" s="2420">
        <f>IF('LFA_Programmatic Progress_1A'!C14="Select","",'LFA_Programmatic Progress_1A'!C14)</f>
        <v>17</v>
      </c>
      <c r="D6" s="2421"/>
      <c r="E6" s="2421"/>
      <c r="F6" s="2421"/>
      <c r="G6" s="2422"/>
      <c r="H6" s="220"/>
      <c r="I6" s="220"/>
      <c r="J6" s="220"/>
      <c r="K6" s="220"/>
      <c r="L6" s="69"/>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c r="BA6" s="220"/>
      <c r="BB6" s="220"/>
      <c r="BC6" s="220"/>
      <c r="BD6" s="220"/>
      <c r="BE6" s="220"/>
      <c r="BF6" s="220"/>
      <c r="BG6" s="220"/>
      <c r="BH6" s="220"/>
      <c r="BI6" s="220"/>
      <c r="BJ6" s="220"/>
      <c r="BK6" s="220"/>
      <c r="BL6" s="220"/>
      <c r="BM6" s="220"/>
      <c r="BN6" s="220"/>
      <c r="BO6" s="220"/>
      <c r="BP6" s="220"/>
      <c r="BQ6" s="220"/>
      <c r="BR6" s="220"/>
      <c r="BS6" s="220"/>
      <c r="BT6" s="220"/>
      <c r="BU6" s="220"/>
      <c r="BV6" s="220"/>
      <c r="BW6" s="220"/>
      <c r="BX6" s="220"/>
      <c r="BY6" s="220"/>
      <c r="BZ6" s="220"/>
      <c r="CA6" s="220"/>
      <c r="CB6" s="220"/>
      <c r="CC6" s="220"/>
      <c r="CD6" s="220"/>
      <c r="CE6" s="220"/>
      <c r="CF6" s="220"/>
      <c r="CG6" s="220"/>
      <c r="CH6" s="220"/>
      <c r="CI6" s="220"/>
      <c r="CJ6" s="220"/>
      <c r="CK6" s="220"/>
      <c r="CL6" s="220"/>
      <c r="CM6" s="220"/>
      <c r="CN6" s="220"/>
      <c r="CO6" s="220"/>
      <c r="CP6" s="220"/>
      <c r="CQ6" s="220"/>
      <c r="CR6" s="220"/>
      <c r="CS6" s="220"/>
      <c r="CT6" s="220"/>
      <c r="CU6" s="220"/>
      <c r="CV6" s="220"/>
      <c r="CW6" s="220"/>
      <c r="CX6" s="220"/>
      <c r="CY6" s="220"/>
      <c r="CZ6" s="220"/>
      <c r="DA6" s="220"/>
      <c r="DB6" s="220"/>
      <c r="DC6" s="220"/>
      <c r="DD6" s="220"/>
      <c r="DE6" s="220"/>
      <c r="DF6" s="220"/>
      <c r="DG6" s="220"/>
      <c r="DH6" s="220"/>
      <c r="DI6" s="220"/>
      <c r="DJ6" s="220"/>
      <c r="DK6" s="220"/>
      <c r="DL6" s="220"/>
      <c r="DM6" s="220"/>
      <c r="DN6" s="220"/>
      <c r="DO6" s="220"/>
      <c r="DP6" s="220"/>
      <c r="DQ6" s="220"/>
      <c r="DR6" s="220"/>
      <c r="DS6" s="220"/>
      <c r="DT6" s="220"/>
      <c r="DU6" s="220"/>
      <c r="DV6" s="220"/>
      <c r="DW6" s="220"/>
      <c r="DX6" s="220"/>
      <c r="DY6" s="220"/>
      <c r="DZ6" s="220"/>
      <c r="EA6" s="220"/>
      <c r="EB6" s="220"/>
      <c r="EC6" s="220"/>
      <c r="ED6" s="220"/>
      <c r="EE6" s="220"/>
      <c r="EF6" s="220"/>
      <c r="EG6" s="220"/>
      <c r="EH6" s="220"/>
      <c r="EI6" s="220"/>
      <c r="EJ6" s="220"/>
      <c r="EK6" s="220"/>
      <c r="EL6" s="220"/>
      <c r="EM6" s="220"/>
      <c r="EN6" s="220"/>
      <c r="EO6" s="220"/>
      <c r="EP6" s="220"/>
      <c r="EQ6" s="220"/>
      <c r="ER6" s="220"/>
      <c r="ES6" s="220"/>
      <c r="ET6" s="220"/>
      <c r="EU6" s="220"/>
      <c r="EV6" s="220"/>
      <c r="EW6" s="220"/>
      <c r="EX6" s="220"/>
      <c r="EY6" s="220"/>
      <c r="EZ6" s="220"/>
      <c r="FA6" s="220"/>
      <c r="FB6" s="220"/>
      <c r="FC6" s="220"/>
      <c r="FD6" s="220"/>
      <c r="FE6" s="220"/>
      <c r="FF6" s="220"/>
      <c r="FG6" s="220"/>
      <c r="FH6" s="220"/>
      <c r="FI6" s="220"/>
      <c r="FJ6" s="220"/>
      <c r="FK6" s="220"/>
      <c r="FL6" s="220"/>
      <c r="FM6" s="220"/>
      <c r="FN6" s="220"/>
      <c r="FO6" s="220"/>
      <c r="FP6" s="220"/>
      <c r="FQ6" s="220"/>
      <c r="FR6" s="220"/>
      <c r="FS6" s="220"/>
      <c r="FT6" s="220"/>
      <c r="FU6" s="220"/>
      <c r="FV6" s="220"/>
      <c r="FW6" s="220"/>
      <c r="FX6" s="220"/>
      <c r="FY6" s="220"/>
      <c r="FZ6" s="220"/>
      <c r="GA6" s="220"/>
      <c r="GB6" s="220"/>
      <c r="GC6" s="220"/>
      <c r="GD6" s="220"/>
      <c r="GE6" s="220"/>
      <c r="GF6" s="220"/>
      <c r="GG6" s="220"/>
      <c r="GH6" s="220"/>
      <c r="GI6" s="220"/>
      <c r="GJ6" s="220"/>
      <c r="GK6" s="220"/>
      <c r="GL6" s="220"/>
      <c r="GM6" s="220"/>
      <c r="GN6" s="220"/>
      <c r="GO6" s="220"/>
      <c r="GP6" s="220"/>
      <c r="GQ6" s="220"/>
      <c r="GR6" s="220"/>
      <c r="GS6" s="220"/>
      <c r="GT6" s="220"/>
      <c r="GU6" s="220"/>
      <c r="GV6" s="220"/>
      <c r="GW6" s="220"/>
      <c r="GX6" s="220"/>
      <c r="GY6" s="220"/>
      <c r="GZ6" s="220"/>
      <c r="HA6" s="220"/>
      <c r="HB6" s="220"/>
      <c r="HC6" s="220"/>
      <c r="HD6" s="220"/>
      <c r="HE6" s="220"/>
      <c r="HF6" s="220"/>
      <c r="HG6" s="220"/>
      <c r="HH6" s="220"/>
      <c r="HI6" s="220"/>
      <c r="HJ6" s="220"/>
      <c r="HK6" s="220"/>
      <c r="HL6" s="220"/>
      <c r="HM6" s="220"/>
      <c r="HN6" s="220"/>
      <c r="HO6" s="220"/>
      <c r="HP6" s="220"/>
      <c r="HQ6" s="220"/>
      <c r="HR6" s="220"/>
      <c r="HS6" s="220"/>
      <c r="HT6" s="220"/>
      <c r="HU6" s="220"/>
      <c r="HV6" s="220"/>
      <c r="HW6" s="220"/>
      <c r="HX6" s="220"/>
      <c r="HY6" s="220"/>
      <c r="HZ6" s="220"/>
      <c r="IA6" s="220"/>
      <c r="IB6" s="220"/>
      <c r="IC6" s="220"/>
      <c r="ID6" s="220"/>
      <c r="IE6" s="220"/>
    </row>
    <row r="7" spans="1:239" s="73" customFormat="1" ht="15" customHeight="1" thickBot="1" x14ac:dyDescent="0.25">
      <c r="A7" s="1233" t="s">
        <v>589</v>
      </c>
      <c r="B7" s="1236"/>
      <c r="C7" s="2070" t="str">
        <f>IF('PR_Programmatic Progress_1A'!C10="Select","",'PR_Programmatic Progress_1A'!C10)</f>
        <v>USD</v>
      </c>
      <c r="D7" s="2071"/>
      <c r="E7" s="2071"/>
      <c r="F7" s="2071"/>
      <c r="G7" s="2072"/>
      <c r="H7" s="220"/>
      <c r="I7" s="220"/>
      <c r="J7" s="220"/>
      <c r="K7" s="220"/>
    </row>
    <row r="8" spans="1:239" s="3" customFormat="1" ht="16.5" customHeight="1" x14ac:dyDescent="0.2">
      <c r="A8" s="70"/>
      <c r="B8" s="70"/>
      <c r="C8" s="70"/>
      <c r="D8" s="70"/>
      <c r="E8" s="70"/>
      <c r="F8" s="70"/>
      <c r="G8" s="70"/>
      <c r="H8" s="70"/>
      <c r="I8" s="70"/>
      <c r="J8" s="71"/>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c r="GD8" s="69"/>
      <c r="GE8" s="69"/>
      <c r="GF8" s="69"/>
      <c r="GG8" s="69"/>
      <c r="GH8" s="69"/>
      <c r="GI8" s="69"/>
      <c r="GJ8" s="69"/>
      <c r="GK8" s="69"/>
      <c r="GL8" s="69"/>
      <c r="GM8" s="69"/>
      <c r="GN8" s="69"/>
      <c r="GO8" s="69"/>
      <c r="GP8" s="69"/>
      <c r="GQ8" s="69"/>
      <c r="GR8" s="69"/>
      <c r="GS8" s="69"/>
      <c r="GT8" s="69"/>
      <c r="GU8" s="69"/>
      <c r="GV8" s="69"/>
      <c r="GW8" s="69"/>
      <c r="GX8" s="69"/>
      <c r="GY8" s="69"/>
      <c r="GZ8" s="69"/>
      <c r="HA8" s="69"/>
      <c r="HB8" s="69"/>
      <c r="HC8" s="69"/>
      <c r="HD8" s="69"/>
      <c r="HE8" s="69"/>
      <c r="HF8" s="69"/>
      <c r="HG8" s="69"/>
      <c r="HH8" s="69"/>
      <c r="HI8" s="69"/>
      <c r="HJ8" s="69"/>
      <c r="HK8" s="69"/>
      <c r="HL8" s="69"/>
      <c r="HM8" s="69"/>
      <c r="HN8" s="69"/>
      <c r="HO8" s="69"/>
      <c r="HP8" s="69"/>
      <c r="HQ8" s="69"/>
      <c r="HR8" s="69"/>
      <c r="HS8" s="69"/>
      <c r="HT8" s="69"/>
      <c r="HU8" s="69"/>
      <c r="HV8" s="69"/>
      <c r="HW8" s="69"/>
      <c r="HX8" s="69"/>
      <c r="HY8" s="69"/>
      <c r="HZ8" s="69"/>
      <c r="IA8" s="69"/>
      <c r="IB8" s="69"/>
      <c r="IC8" s="69"/>
      <c r="ID8" s="69"/>
      <c r="IE8" s="69"/>
    </row>
    <row r="9" spans="1:239" s="17" customFormat="1" ht="25.5" customHeight="1" x14ac:dyDescent="0.25">
      <c r="A9" s="479" t="s">
        <v>358</v>
      </c>
      <c r="B9" s="218"/>
      <c r="C9" s="218"/>
      <c r="D9" s="218"/>
      <c r="E9" s="218"/>
      <c r="F9" s="218"/>
      <c r="G9" s="218"/>
      <c r="H9" s="1218"/>
      <c r="I9" s="1218"/>
      <c r="J9" s="1218"/>
      <c r="K9" s="1242"/>
      <c r="L9" s="69"/>
      <c r="M9" s="1022"/>
      <c r="N9" s="1022"/>
      <c r="O9" s="1022"/>
      <c r="P9" s="1022"/>
      <c r="Q9" s="1022"/>
      <c r="R9" s="1022"/>
      <c r="S9" s="1022"/>
      <c r="T9" s="1022"/>
      <c r="U9" s="1022"/>
      <c r="V9" s="1022"/>
      <c r="W9" s="1022"/>
      <c r="X9" s="1022"/>
      <c r="Y9" s="1022"/>
      <c r="Z9" s="1022"/>
      <c r="AA9" s="1022"/>
      <c r="AB9" s="1022"/>
      <c r="AC9" s="1022"/>
      <c r="AD9" s="1022"/>
      <c r="AE9" s="1022"/>
      <c r="AF9" s="1022"/>
      <c r="AG9" s="1022"/>
      <c r="AH9" s="1022"/>
      <c r="AI9" s="1022"/>
      <c r="AJ9" s="1022"/>
      <c r="AK9" s="1022"/>
      <c r="AL9" s="1022"/>
      <c r="AM9" s="1022"/>
      <c r="AN9" s="1022"/>
      <c r="AO9" s="1022"/>
      <c r="AP9" s="1022"/>
      <c r="AQ9" s="1022"/>
      <c r="AR9" s="1022"/>
      <c r="AS9" s="1022"/>
      <c r="AT9" s="1022"/>
      <c r="AU9" s="1022"/>
      <c r="AV9" s="1022"/>
      <c r="AW9" s="1022"/>
      <c r="AX9" s="1022"/>
      <c r="AY9" s="1022"/>
      <c r="AZ9" s="1022"/>
      <c r="BA9" s="1022"/>
      <c r="BB9" s="1022"/>
      <c r="BC9" s="1022"/>
      <c r="BD9" s="1022"/>
      <c r="BE9" s="1022"/>
      <c r="BF9" s="1022"/>
      <c r="BG9" s="1022"/>
      <c r="BH9" s="1022"/>
      <c r="BI9" s="1022"/>
      <c r="BJ9" s="1022"/>
      <c r="BK9" s="1022"/>
      <c r="BL9" s="1022"/>
      <c r="BM9" s="1022"/>
      <c r="BN9" s="1022"/>
      <c r="BO9" s="1022"/>
      <c r="BP9" s="1022"/>
      <c r="BQ9" s="1022"/>
      <c r="BR9" s="1022"/>
      <c r="BS9" s="1022"/>
      <c r="BT9" s="1022"/>
      <c r="BU9" s="1022"/>
      <c r="BV9" s="1022"/>
      <c r="BW9" s="1022"/>
      <c r="BX9" s="1022"/>
      <c r="BY9" s="1022"/>
      <c r="BZ9" s="1022"/>
      <c r="CA9" s="1022"/>
      <c r="CB9" s="1022"/>
      <c r="CC9" s="1022"/>
      <c r="CD9" s="1022"/>
      <c r="CE9" s="1022"/>
      <c r="CF9" s="1022"/>
      <c r="CG9" s="1022"/>
      <c r="CH9" s="1022"/>
      <c r="CI9" s="1022"/>
      <c r="CJ9" s="1022"/>
      <c r="CK9" s="1022"/>
      <c r="CL9" s="1022"/>
      <c r="CM9" s="1022"/>
      <c r="CN9" s="1022"/>
      <c r="CO9" s="1022"/>
      <c r="CP9" s="1022"/>
      <c r="CQ9" s="1022"/>
      <c r="CR9" s="1022"/>
      <c r="CS9" s="1022"/>
      <c r="CT9" s="1022"/>
      <c r="CU9" s="1022"/>
      <c r="CV9" s="1022"/>
      <c r="CW9" s="1022"/>
      <c r="CX9" s="1022"/>
      <c r="CY9" s="1022"/>
      <c r="CZ9" s="1022"/>
      <c r="DA9" s="1022"/>
      <c r="DB9" s="1022"/>
      <c r="DC9" s="1022"/>
      <c r="DD9" s="1022"/>
      <c r="DE9" s="1022"/>
      <c r="DF9" s="1022"/>
      <c r="DG9" s="1022"/>
      <c r="DH9" s="1022"/>
      <c r="DI9" s="1022"/>
      <c r="DJ9" s="1022"/>
      <c r="DK9" s="1022"/>
      <c r="DL9" s="1022"/>
      <c r="DM9" s="1022"/>
      <c r="DN9" s="1022"/>
      <c r="DO9" s="1022"/>
      <c r="DP9" s="1022"/>
      <c r="DQ9" s="1022"/>
      <c r="DR9" s="1022"/>
      <c r="DS9" s="1022"/>
      <c r="DT9" s="1022"/>
      <c r="DU9" s="1022"/>
      <c r="DV9" s="1022"/>
      <c r="DW9" s="1022"/>
      <c r="DX9" s="1022"/>
      <c r="DY9" s="1022"/>
      <c r="DZ9" s="1022"/>
      <c r="EA9" s="1022"/>
      <c r="EB9" s="1022"/>
      <c r="EC9" s="1022"/>
      <c r="ED9" s="1022"/>
      <c r="EE9" s="1022"/>
      <c r="EF9" s="1022"/>
      <c r="EG9" s="1022"/>
      <c r="EH9" s="1022"/>
      <c r="EI9" s="1022"/>
      <c r="EJ9" s="1022"/>
      <c r="EK9" s="1022"/>
      <c r="EL9" s="1022"/>
      <c r="EM9" s="1022"/>
      <c r="EN9" s="1022"/>
      <c r="EO9" s="1022"/>
      <c r="EP9" s="1022"/>
      <c r="EQ9" s="1022"/>
      <c r="ER9" s="1022"/>
      <c r="ES9" s="1022"/>
      <c r="ET9" s="1022"/>
      <c r="EU9" s="1022"/>
      <c r="EV9" s="1022"/>
      <c r="EW9" s="1022"/>
      <c r="EX9" s="1022"/>
      <c r="EY9" s="1022"/>
      <c r="EZ9" s="1022"/>
      <c r="FA9" s="1022"/>
      <c r="FB9" s="1022"/>
      <c r="FC9" s="1022"/>
      <c r="FD9" s="1022"/>
      <c r="FE9" s="1022"/>
      <c r="FF9" s="1022"/>
      <c r="FG9" s="1022"/>
      <c r="FH9" s="1022"/>
      <c r="FI9" s="1022"/>
      <c r="FJ9" s="1022"/>
      <c r="FK9" s="1022"/>
      <c r="FL9" s="1022"/>
      <c r="FM9" s="1022"/>
      <c r="FN9" s="1022"/>
      <c r="FO9" s="1022"/>
      <c r="FP9" s="1022"/>
      <c r="FQ9" s="1022"/>
      <c r="FR9" s="1022"/>
      <c r="FS9" s="1022"/>
      <c r="FT9" s="1022"/>
      <c r="FU9" s="1022"/>
      <c r="FV9" s="1022"/>
      <c r="FW9" s="1022"/>
      <c r="FX9" s="1022"/>
      <c r="FY9" s="1022"/>
      <c r="FZ9" s="1022"/>
      <c r="GA9" s="1022"/>
      <c r="GB9" s="1022"/>
      <c r="GC9" s="1022"/>
      <c r="GD9" s="1022"/>
      <c r="GE9" s="1022"/>
      <c r="GF9" s="1022"/>
      <c r="GG9" s="1022"/>
      <c r="GH9" s="1022"/>
      <c r="GI9" s="1022"/>
      <c r="GJ9" s="1022"/>
      <c r="GK9" s="1022"/>
      <c r="GL9" s="1022"/>
      <c r="GM9" s="1022"/>
      <c r="GN9" s="1022"/>
      <c r="GO9" s="1022"/>
      <c r="GP9" s="1022"/>
      <c r="GQ9" s="1022"/>
      <c r="GR9" s="1022"/>
      <c r="GS9" s="1022"/>
      <c r="GT9" s="1022"/>
      <c r="GU9" s="1022"/>
      <c r="GV9" s="1022"/>
      <c r="GW9" s="1022"/>
      <c r="GX9" s="1022"/>
      <c r="GY9" s="1022"/>
      <c r="GZ9" s="1022"/>
      <c r="HA9" s="1022"/>
      <c r="HB9" s="1022"/>
      <c r="HC9" s="1022"/>
      <c r="HD9" s="1022"/>
      <c r="HE9" s="1022"/>
      <c r="HF9" s="1022"/>
      <c r="HG9" s="1022"/>
      <c r="HH9" s="1022"/>
      <c r="HI9" s="1022"/>
      <c r="HJ9" s="1022"/>
      <c r="HK9" s="1022"/>
      <c r="HL9" s="1022"/>
      <c r="HM9" s="1022"/>
      <c r="HN9" s="1022"/>
      <c r="HO9" s="1022"/>
      <c r="HP9" s="1022"/>
      <c r="HQ9" s="1022"/>
      <c r="HR9" s="1022"/>
      <c r="HS9" s="1022"/>
      <c r="HT9" s="1022"/>
      <c r="HU9" s="1022"/>
      <c r="HV9" s="1022"/>
      <c r="HW9" s="1022"/>
      <c r="HX9" s="1022"/>
      <c r="HY9" s="1022"/>
      <c r="HZ9" s="1022"/>
      <c r="IA9" s="1022"/>
      <c r="IB9" s="1022"/>
      <c r="IC9" s="1022"/>
      <c r="ID9" s="1022"/>
      <c r="IE9" s="1022"/>
    </row>
    <row r="10" spans="1:239" s="17" customFormat="1" ht="21" customHeight="1" x14ac:dyDescent="0.2">
      <c r="A10" s="1859" t="s">
        <v>406</v>
      </c>
      <c r="B10" s="1860"/>
      <c r="C10" s="1860"/>
      <c r="D10" s="1860"/>
      <c r="E10" s="1860"/>
      <c r="F10" s="1860"/>
      <c r="G10" s="1860"/>
      <c r="H10" s="1860"/>
      <c r="I10" s="1860"/>
      <c r="J10" s="1860"/>
      <c r="K10" s="1860"/>
      <c r="L10" s="69"/>
      <c r="M10" s="1022"/>
      <c r="N10" s="1022"/>
      <c r="O10" s="1022"/>
      <c r="P10" s="1022"/>
      <c r="Q10" s="1022"/>
      <c r="R10" s="1022"/>
      <c r="S10" s="1022"/>
      <c r="T10" s="1022"/>
      <c r="U10" s="1022"/>
      <c r="V10" s="1022"/>
      <c r="W10" s="1022"/>
      <c r="X10" s="1022"/>
      <c r="Y10" s="1022"/>
      <c r="Z10" s="1022"/>
      <c r="AA10" s="1022"/>
      <c r="AB10" s="1022"/>
      <c r="AC10" s="1022"/>
      <c r="AD10" s="1022"/>
      <c r="AE10" s="1022"/>
      <c r="AF10" s="1022"/>
      <c r="AG10" s="1022"/>
      <c r="AH10" s="1022"/>
      <c r="AI10" s="1022"/>
      <c r="AJ10" s="1022"/>
      <c r="AK10" s="1022"/>
      <c r="AL10" s="1022"/>
      <c r="AM10" s="1022"/>
      <c r="AN10" s="1022"/>
      <c r="AO10" s="1022"/>
      <c r="AP10" s="1022"/>
      <c r="AQ10" s="1022"/>
      <c r="AR10" s="1022"/>
      <c r="AS10" s="1022"/>
      <c r="AT10" s="1022"/>
      <c r="AU10" s="1022"/>
      <c r="AV10" s="1022"/>
      <c r="AW10" s="1022"/>
      <c r="AX10" s="1022"/>
      <c r="AY10" s="1022"/>
      <c r="AZ10" s="1022"/>
      <c r="BA10" s="1022"/>
      <c r="BB10" s="1022"/>
      <c r="BC10" s="1022"/>
      <c r="BD10" s="1022"/>
      <c r="BE10" s="1022"/>
      <c r="BF10" s="1022"/>
      <c r="BG10" s="1022"/>
      <c r="BH10" s="1022"/>
      <c r="BI10" s="1022"/>
      <c r="BJ10" s="1022"/>
      <c r="BK10" s="1022"/>
      <c r="BL10" s="1022"/>
      <c r="BM10" s="1022"/>
      <c r="BN10" s="1022"/>
      <c r="BO10" s="1022"/>
      <c r="BP10" s="1022"/>
      <c r="BQ10" s="1022"/>
      <c r="BR10" s="1022"/>
      <c r="BS10" s="1022"/>
      <c r="BT10" s="1022"/>
      <c r="BU10" s="1022"/>
      <c r="BV10" s="1022"/>
      <c r="BW10" s="1022"/>
      <c r="BX10" s="1022"/>
      <c r="BY10" s="1022"/>
      <c r="BZ10" s="1022"/>
      <c r="CA10" s="1022"/>
      <c r="CB10" s="1022"/>
      <c r="CC10" s="1022"/>
      <c r="CD10" s="1022"/>
      <c r="CE10" s="1022"/>
      <c r="CF10" s="1022"/>
      <c r="CG10" s="1022"/>
      <c r="CH10" s="1022"/>
      <c r="CI10" s="1022"/>
      <c r="CJ10" s="1022"/>
      <c r="CK10" s="1022"/>
      <c r="CL10" s="1022"/>
      <c r="CM10" s="1022"/>
      <c r="CN10" s="1022"/>
      <c r="CO10" s="1022"/>
      <c r="CP10" s="1022"/>
      <c r="CQ10" s="1022"/>
      <c r="CR10" s="1022"/>
      <c r="CS10" s="1022"/>
      <c r="CT10" s="1022"/>
      <c r="CU10" s="1022"/>
      <c r="CV10" s="1022"/>
      <c r="CW10" s="1022"/>
      <c r="CX10" s="1022"/>
      <c r="CY10" s="1022"/>
      <c r="CZ10" s="1022"/>
      <c r="DA10" s="1022"/>
      <c r="DB10" s="1022"/>
      <c r="DC10" s="1022"/>
      <c r="DD10" s="1022"/>
      <c r="DE10" s="1022"/>
      <c r="DF10" s="1022"/>
      <c r="DG10" s="1022"/>
      <c r="DH10" s="1022"/>
      <c r="DI10" s="1022"/>
      <c r="DJ10" s="1022"/>
      <c r="DK10" s="1022"/>
      <c r="DL10" s="1022"/>
      <c r="DM10" s="1022"/>
      <c r="DN10" s="1022"/>
      <c r="DO10" s="1022"/>
      <c r="DP10" s="1022"/>
      <c r="DQ10" s="1022"/>
      <c r="DR10" s="1022"/>
      <c r="DS10" s="1022"/>
      <c r="DT10" s="1022"/>
      <c r="DU10" s="1022"/>
      <c r="DV10" s="1022"/>
      <c r="DW10" s="1022"/>
      <c r="DX10" s="1022"/>
      <c r="DY10" s="1022"/>
      <c r="DZ10" s="1022"/>
      <c r="EA10" s="1022"/>
      <c r="EB10" s="1022"/>
      <c r="EC10" s="1022"/>
      <c r="ED10" s="1022"/>
      <c r="EE10" s="1022"/>
      <c r="EF10" s="1022"/>
      <c r="EG10" s="1022"/>
      <c r="EH10" s="1022"/>
      <c r="EI10" s="1022"/>
      <c r="EJ10" s="1022"/>
      <c r="EK10" s="1022"/>
      <c r="EL10" s="1022"/>
      <c r="EM10" s="1022"/>
      <c r="EN10" s="1022"/>
      <c r="EO10" s="1022"/>
      <c r="EP10" s="1022"/>
      <c r="EQ10" s="1022"/>
      <c r="ER10" s="1022"/>
      <c r="ES10" s="1022"/>
      <c r="ET10" s="1022"/>
      <c r="EU10" s="1022"/>
      <c r="EV10" s="1022"/>
      <c r="EW10" s="1022"/>
      <c r="EX10" s="1022"/>
      <c r="EY10" s="1022"/>
      <c r="EZ10" s="1022"/>
      <c r="FA10" s="1022"/>
      <c r="FB10" s="1022"/>
      <c r="FC10" s="1022"/>
      <c r="FD10" s="1022"/>
      <c r="FE10" s="1022"/>
      <c r="FF10" s="1022"/>
      <c r="FG10" s="1022"/>
      <c r="FH10" s="1022"/>
      <c r="FI10" s="1022"/>
      <c r="FJ10" s="1022"/>
      <c r="FK10" s="1022"/>
      <c r="FL10" s="1022"/>
      <c r="FM10" s="1022"/>
      <c r="FN10" s="1022"/>
      <c r="FO10" s="1022"/>
      <c r="FP10" s="1022"/>
      <c r="FQ10" s="1022"/>
      <c r="FR10" s="1022"/>
      <c r="FS10" s="1022"/>
      <c r="FT10" s="1022"/>
      <c r="FU10" s="1022"/>
      <c r="FV10" s="1022"/>
      <c r="FW10" s="1022"/>
      <c r="FX10" s="1022"/>
      <c r="FY10" s="1022"/>
      <c r="FZ10" s="1022"/>
      <c r="GA10" s="1022"/>
      <c r="GB10" s="1022"/>
      <c r="GC10" s="1022"/>
      <c r="GD10" s="1022"/>
      <c r="GE10" s="1022"/>
      <c r="GF10" s="1022"/>
      <c r="GG10" s="1022"/>
      <c r="GH10" s="1022"/>
      <c r="GI10" s="1022"/>
      <c r="GJ10" s="1022"/>
      <c r="GK10" s="1022"/>
      <c r="GL10" s="1022"/>
      <c r="GM10" s="1022"/>
      <c r="GN10" s="1022"/>
      <c r="GO10" s="1022"/>
      <c r="GP10" s="1022"/>
      <c r="GQ10" s="1022"/>
      <c r="GR10" s="1022"/>
      <c r="GS10" s="1022"/>
      <c r="GT10" s="1022"/>
      <c r="GU10" s="1022"/>
      <c r="GV10" s="1022"/>
      <c r="GW10" s="1022"/>
      <c r="GX10" s="1022"/>
      <c r="GY10" s="1022"/>
      <c r="GZ10" s="1022"/>
      <c r="HA10" s="1022"/>
      <c r="HB10" s="1022"/>
      <c r="HC10" s="1022"/>
      <c r="HD10" s="1022"/>
      <c r="HE10" s="1022"/>
      <c r="HF10" s="1022"/>
      <c r="HG10" s="1022"/>
      <c r="HH10" s="1022"/>
      <c r="HI10" s="1022"/>
      <c r="HJ10" s="1022"/>
      <c r="HK10" s="1022"/>
      <c r="HL10" s="1022"/>
      <c r="HM10" s="1022"/>
      <c r="HN10" s="1022"/>
      <c r="HO10" s="1022"/>
      <c r="HP10" s="1022"/>
      <c r="HQ10" s="1022"/>
      <c r="HR10" s="1022"/>
      <c r="HS10" s="1022"/>
      <c r="HT10" s="1022"/>
      <c r="HU10" s="1022"/>
      <c r="HV10" s="1022"/>
      <c r="HW10" s="1022"/>
      <c r="HX10" s="1022"/>
      <c r="HY10" s="1022"/>
      <c r="HZ10" s="1022"/>
      <c r="IA10" s="1022"/>
      <c r="IB10" s="1022"/>
      <c r="IC10" s="1022"/>
      <c r="ID10" s="1022"/>
      <c r="IE10" s="1022"/>
    </row>
    <row r="11" spans="1:239" s="3" customFormat="1" ht="30" customHeight="1" thickBot="1" x14ac:dyDescent="0.25">
      <c r="A11" s="736" t="s">
        <v>479</v>
      </c>
      <c r="B11" s="69"/>
      <c r="C11" s="69"/>
      <c r="D11" s="69"/>
      <c r="E11" s="69"/>
      <c r="F11" s="69"/>
      <c r="G11" s="69"/>
      <c r="H11" s="69"/>
      <c r="I11" s="69"/>
      <c r="J11" s="69"/>
      <c r="K11" s="69"/>
      <c r="L11" s="1031"/>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69"/>
      <c r="FE11" s="69"/>
      <c r="FF11" s="69"/>
      <c r="FG11" s="69"/>
      <c r="FH11" s="69"/>
      <c r="FI11" s="69"/>
      <c r="FJ11" s="69"/>
      <c r="FK11" s="69"/>
      <c r="FL11" s="69"/>
      <c r="FM11" s="69"/>
      <c r="FN11" s="69"/>
      <c r="FO11" s="69"/>
      <c r="FP11" s="69"/>
      <c r="FQ11" s="69"/>
      <c r="FR11" s="69"/>
      <c r="FS11" s="69"/>
      <c r="FT11" s="69"/>
      <c r="FU11" s="69"/>
      <c r="FV11" s="69"/>
      <c r="FW11" s="69"/>
      <c r="FX11" s="69"/>
      <c r="FY11" s="69"/>
      <c r="FZ11" s="69"/>
      <c r="GA11" s="69"/>
      <c r="GB11" s="69"/>
      <c r="GC11" s="69"/>
      <c r="GD11" s="69"/>
      <c r="GE11" s="69"/>
      <c r="GF11" s="69"/>
      <c r="GG11" s="69"/>
      <c r="GH11" s="69"/>
      <c r="GI11" s="69"/>
      <c r="GJ11" s="69"/>
      <c r="GK11" s="69"/>
      <c r="GL11" s="69"/>
      <c r="GM11" s="69"/>
      <c r="GN11" s="69"/>
      <c r="GO11" s="69"/>
      <c r="GP11" s="69"/>
      <c r="GQ11" s="69"/>
      <c r="GR11" s="69"/>
      <c r="GS11" s="69"/>
      <c r="GT11" s="69"/>
      <c r="GU11" s="69"/>
      <c r="GV11" s="69"/>
      <c r="GW11" s="69"/>
      <c r="GX11" s="69"/>
      <c r="GY11" s="69"/>
      <c r="GZ11" s="69"/>
      <c r="HA11" s="69"/>
      <c r="HB11" s="69"/>
      <c r="HC11" s="69"/>
      <c r="HD11" s="69"/>
      <c r="HE11" s="69"/>
      <c r="HF11" s="69"/>
      <c r="HG11" s="69"/>
      <c r="HH11" s="69"/>
      <c r="HI11" s="69"/>
      <c r="HJ11" s="69"/>
      <c r="HK11" s="69"/>
      <c r="HL11" s="69"/>
      <c r="HM11" s="69"/>
      <c r="HN11" s="69"/>
      <c r="HO11" s="69"/>
      <c r="HP11" s="69"/>
      <c r="HQ11" s="69"/>
      <c r="HR11" s="69"/>
      <c r="HS11" s="69"/>
      <c r="HT11" s="69"/>
      <c r="HU11" s="69"/>
      <c r="HV11" s="69"/>
      <c r="HW11" s="69"/>
      <c r="HX11" s="69"/>
      <c r="HY11" s="69"/>
      <c r="HZ11" s="69"/>
      <c r="IA11" s="69"/>
      <c r="IB11" s="69"/>
      <c r="IC11" s="69"/>
      <c r="ID11" s="69"/>
      <c r="IE11" s="69"/>
    </row>
    <row r="12" spans="1:239" s="17" customFormat="1" ht="93.75" customHeight="1" thickBot="1" x14ac:dyDescent="0.25">
      <c r="A12" s="2264"/>
      <c r="B12" s="2256"/>
      <c r="C12" s="867" t="s">
        <v>123</v>
      </c>
      <c r="D12" s="867" t="s">
        <v>124</v>
      </c>
      <c r="E12" s="867" t="s">
        <v>596</v>
      </c>
      <c r="F12" s="2388" t="s">
        <v>574</v>
      </c>
      <c r="G12" s="2389"/>
      <c r="H12" s="867" t="s">
        <v>131</v>
      </c>
      <c r="I12" s="867" t="s">
        <v>125</v>
      </c>
      <c r="J12" s="867" t="s">
        <v>596</v>
      </c>
      <c r="K12" s="1010" t="s">
        <v>574</v>
      </c>
      <c r="L12" s="1032"/>
      <c r="M12" s="1022"/>
      <c r="N12" s="2264" t="str">
        <f>IF('PR_Programmatic Progress_1A'!P10="Select","Please select currency on Page 'PR_Programmatic Achievement (1)'", "All amounts are in: "&amp;'PR_Programmatic Progress_1A'!P10)</f>
        <v xml:space="preserve">All amounts are in: </v>
      </c>
      <c r="O12" s="2256"/>
      <c r="P12" s="867" t="s">
        <v>123</v>
      </c>
      <c r="Q12" s="867" t="s">
        <v>124</v>
      </c>
      <c r="R12" s="867" t="s">
        <v>596</v>
      </c>
      <c r="S12" s="2388" t="s">
        <v>574</v>
      </c>
      <c r="T12" s="2389"/>
      <c r="U12" s="867" t="s">
        <v>131</v>
      </c>
      <c r="V12" s="867" t="s">
        <v>125</v>
      </c>
      <c r="W12" s="867" t="s">
        <v>596</v>
      </c>
      <c r="X12" s="1079" t="s">
        <v>574</v>
      </c>
      <c r="Y12" s="1022"/>
      <c r="Z12" s="1022"/>
      <c r="AA12" s="1022"/>
      <c r="AB12" s="1022"/>
      <c r="AC12" s="1022"/>
      <c r="AD12" s="1022"/>
      <c r="AE12" s="1022"/>
      <c r="AF12" s="1022"/>
      <c r="AG12" s="1022"/>
      <c r="AH12" s="1022"/>
      <c r="AI12" s="1022"/>
      <c r="AJ12" s="1022"/>
      <c r="AK12" s="1022"/>
      <c r="AL12" s="1022"/>
      <c r="AM12" s="1022"/>
      <c r="AN12" s="1022"/>
      <c r="AO12" s="1022"/>
      <c r="AP12" s="1022"/>
      <c r="AQ12" s="1022"/>
      <c r="AR12" s="1022"/>
      <c r="AS12" s="1022"/>
      <c r="AT12" s="1022"/>
      <c r="AU12" s="1022"/>
      <c r="AV12" s="1022"/>
      <c r="AW12" s="1022"/>
      <c r="AX12" s="1022"/>
      <c r="AY12" s="1022"/>
      <c r="AZ12" s="1022"/>
      <c r="BA12" s="1022"/>
      <c r="BB12" s="1022"/>
      <c r="BC12" s="1022"/>
      <c r="BD12" s="1022"/>
      <c r="BE12" s="1022"/>
      <c r="BF12" s="1022"/>
      <c r="BG12" s="1022"/>
      <c r="BH12" s="1022"/>
      <c r="BI12" s="1022"/>
      <c r="BJ12" s="1022"/>
      <c r="BK12" s="1022"/>
      <c r="BL12" s="1022"/>
      <c r="BM12" s="1022"/>
      <c r="BN12" s="1022"/>
      <c r="BO12" s="1022"/>
      <c r="BP12" s="1022"/>
      <c r="BQ12" s="1022"/>
      <c r="BR12" s="1022"/>
      <c r="BS12" s="1022"/>
      <c r="BT12" s="1022"/>
      <c r="BU12" s="1022"/>
      <c r="BV12" s="1022"/>
      <c r="BW12" s="1022"/>
      <c r="BX12" s="1022"/>
      <c r="BY12" s="1022"/>
      <c r="BZ12" s="1022"/>
      <c r="CA12" s="1022"/>
      <c r="CB12" s="1022"/>
      <c r="CC12" s="1022"/>
      <c r="CD12" s="1022"/>
      <c r="CE12" s="1022"/>
      <c r="CF12" s="1022"/>
      <c r="CG12" s="1022"/>
      <c r="CH12" s="1022"/>
      <c r="CI12" s="1022"/>
      <c r="CJ12" s="1022"/>
      <c r="CK12" s="1022"/>
      <c r="CL12" s="1022"/>
      <c r="CM12" s="1022"/>
      <c r="CN12" s="1022"/>
      <c r="CO12" s="1022"/>
      <c r="CP12" s="1022"/>
      <c r="CQ12" s="1022"/>
      <c r="CR12" s="1022"/>
      <c r="CS12" s="1022"/>
      <c r="CT12" s="1022"/>
      <c r="CU12" s="1022"/>
      <c r="CV12" s="1022"/>
      <c r="CW12" s="1022"/>
      <c r="CX12" s="1022"/>
      <c r="CY12" s="1022"/>
      <c r="CZ12" s="1022"/>
      <c r="DA12" s="1022"/>
      <c r="DB12" s="1022"/>
      <c r="DC12" s="1022"/>
      <c r="DD12" s="1022"/>
      <c r="DE12" s="1022"/>
      <c r="DF12" s="1022"/>
      <c r="DG12" s="1022"/>
      <c r="DH12" s="1022"/>
      <c r="DI12" s="1022"/>
      <c r="DJ12" s="1022"/>
      <c r="DK12" s="1022"/>
      <c r="DL12" s="1022"/>
      <c r="DM12" s="1022"/>
      <c r="DN12" s="1022"/>
      <c r="DO12" s="1022"/>
      <c r="DP12" s="1022"/>
      <c r="DQ12" s="1022"/>
      <c r="DR12" s="1022"/>
      <c r="DS12" s="1022"/>
      <c r="DT12" s="1022"/>
      <c r="DU12" s="1022"/>
      <c r="DV12" s="1022"/>
      <c r="DW12" s="1022"/>
      <c r="DX12" s="1022"/>
      <c r="DY12" s="1022"/>
      <c r="DZ12" s="1022"/>
      <c r="EA12" s="1022"/>
      <c r="EB12" s="1022"/>
      <c r="EC12" s="1022"/>
      <c r="ED12" s="1022"/>
      <c r="EE12" s="1022"/>
      <c r="EF12" s="1022"/>
      <c r="EG12" s="1022"/>
      <c r="EH12" s="1022"/>
      <c r="EI12" s="1022"/>
      <c r="EJ12" s="1022"/>
      <c r="EK12" s="1022"/>
      <c r="EL12" s="1022"/>
      <c r="EM12" s="1022"/>
      <c r="EN12" s="1022"/>
      <c r="EO12" s="1022"/>
      <c r="EP12" s="1022"/>
      <c r="EQ12" s="1022"/>
      <c r="ER12" s="1022"/>
      <c r="ES12" s="1022"/>
      <c r="ET12" s="1022"/>
      <c r="EU12" s="1022"/>
      <c r="EV12" s="1022"/>
      <c r="EW12" s="1022"/>
      <c r="EX12" s="1022"/>
      <c r="EY12" s="1022"/>
      <c r="EZ12" s="1022"/>
      <c r="FA12" s="1022"/>
      <c r="FB12" s="1022"/>
      <c r="FC12" s="1022"/>
      <c r="FD12" s="1022"/>
      <c r="FE12" s="1022"/>
      <c r="FF12" s="1022"/>
      <c r="FG12" s="1022"/>
      <c r="FH12" s="1022"/>
      <c r="FI12" s="1022"/>
      <c r="FJ12" s="1022"/>
      <c r="FK12" s="1022"/>
      <c r="FL12" s="1022"/>
      <c r="FM12" s="1022"/>
      <c r="FN12" s="1022"/>
      <c r="FO12" s="1022"/>
      <c r="FP12" s="1022"/>
      <c r="FQ12" s="1022"/>
      <c r="FR12" s="1022"/>
      <c r="FS12" s="1022"/>
      <c r="FT12" s="1022"/>
      <c r="FU12" s="1022"/>
      <c r="FV12" s="1022"/>
      <c r="FW12" s="1022"/>
      <c r="FX12" s="1022"/>
      <c r="FY12" s="1022"/>
      <c r="FZ12" s="1022"/>
      <c r="GA12" s="1022"/>
      <c r="GB12" s="1022"/>
      <c r="GC12" s="1022"/>
      <c r="GD12" s="1022"/>
      <c r="GE12" s="1022"/>
      <c r="GF12" s="1022"/>
      <c r="GG12" s="1022"/>
      <c r="GH12" s="1022"/>
      <c r="GI12" s="1022"/>
      <c r="GJ12" s="1022"/>
      <c r="GK12" s="1022"/>
      <c r="GL12" s="1022"/>
      <c r="GM12" s="1022"/>
      <c r="GN12" s="1022"/>
      <c r="GO12" s="1022"/>
      <c r="GP12" s="1022"/>
      <c r="GQ12" s="1022"/>
      <c r="GR12" s="1022"/>
      <c r="GS12" s="1022"/>
      <c r="GT12" s="1022"/>
      <c r="GU12" s="1022"/>
      <c r="GV12" s="1022"/>
      <c r="GW12" s="1022"/>
      <c r="GX12" s="1022"/>
      <c r="GY12" s="1022"/>
      <c r="GZ12" s="1022"/>
      <c r="HA12" s="1022"/>
      <c r="HB12" s="1022"/>
      <c r="HC12" s="1022"/>
      <c r="HD12" s="1022"/>
      <c r="HE12" s="1022"/>
      <c r="HF12" s="1022"/>
      <c r="HG12" s="1022"/>
      <c r="HH12" s="1022"/>
      <c r="HI12" s="1022"/>
      <c r="HJ12" s="1022"/>
      <c r="HK12" s="1022"/>
      <c r="HL12" s="1022"/>
      <c r="HM12" s="1022"/>
      <c r="HN12" s="1022"/>
      <c r="HO12" s="1022"/>
      <c r="HP12" s="1022"/>
      <c r="HQ12" s="1022"/>
      <c r="HR12" s="1022"/>
      <c r="HS12" s="1022"/>
      <c r="HT12" s="1022"/>
      <c r="HU12" s="1022"/>
      <c r="HV12" s="1022"/>
      <c r="HW12" s="1022"/>
      <c r="HX12" s="1022"/>
      <c r="HY12" s="1022"/>
      <c r="HZ12" s="1022"/>
      <c r="IA12" s="1022"/>
      <c r="IB12" s="1022"/>
      <c r="IC12" s="1022"/>
      <c r="ID12" s="1022"/>
      <c r="IE12" s="1022"/>
    </row>
    <row r="13" spans="1:239" s="17" customFormat="1" ht="21" customHeight="1" x14ac:dyDescent="0.2">
      <c r="A13" s="2390" t="s">
        <v>355</v>
      </c>
      <c r="B13" s="2391"/>
      <c r="C13" s="1516">
        <f>C14+C15</f>
        <v>172209</v>
      </c>
      <c r="D13" s="1516">
        <f>D14+D15</f>
        <v>115743.48000000001</v>
      </c>
      <c r="E13" s="1516">
        <f>IF(C13="",IF(D13="","",C13-D13),C13-D13)</f>
        <v>56465.51999999999</v>
      </c>
      <c r="F13" s="2396"/>
      <c r="G13" s="2397"/>
      <c r="H13" s="1516">
        <f>H14+H15</f>
        <v>2402377.0700000003</v>
      </c>
      <c r="I13" s="1516">
        <f>I14+I15</f>
        <v>2044349.48</v>
      </c>
      <c r="J13" s="1516">
        <f>IF(H13="",IF(I13="","",H13-I13),H13-I13)</f>
        <v>358027.59000000032</v>
      </c>
      <c r="K13" s="1026"/>
      <c r="L13" s="1032"/>
      <c r="M13" s="1022"/>
      <c r="N13" s="2390" t="s">
        <v>355</v>
      </c>
      <c r="O13" s="2391"/>
      <c r="P13" s="868">
        <f>P14+P15</f>
        <v>172209</v>
      </c>
      <c r="Q13" s="868">
        <f>Q14+Q15</f>
        <v>89021.549999999988</v>
      </c>
      <c r="R13" s="868">
        <f>IF(P13="",IF(Q13="","",P13-Q13),P13-Q13)</f>
        <v>83187.450000000012</v>
      </c>
      <c r="S13" s="2396"/>
      <c r="T13" s="2397"/>
      <c r="U13" s="868">
        <f>U14+U15</f>
        <v>2617358.0700000003</v>
      </c>
      <c r="V13" s="868">
        <f>V14+V15</f>
        <v>2236321.1100000003</v>
      </c>
      <c r="W13" s="868">
        <f>IF(U13="",IF(V13="","",U13-V13),U13-V13)</f>
        <v>381036.95999999996</v>
      </c>
      <c r="X13" s="1082"/>
      <c r="Y13" s="1022"/>
      <c r="Z13" s="1022"/>
      <c r="AA13" s="1022"/>
      <c r="AB13" s="1022"/>
      <c r="AC13" s="1022"/>
      <c r="AD13" s="1022"/>
      <c r="AE13" s="1022"/>
      <c r="AF13" s="1022"/>
      <c r="AG13" s="1022"/>
      <c r="AH13" s="1022"/>
      <c r="AI13" s="1022"/>
      <c r="AJ13" s="1022"/>
      <c r="AK13" s="1022"/>
      <c r="AL13" s="1022"/>
      <c r="AM13" s="1022"/>
      <c r="AN13" s="1022"/>
      <c r="AO13" s="1022"/>
      <c r="AP13" s="1022"/>
      <c r="AQ13" s="1022"/>
      <c r="AR13" s="1022"/>
      <c r="AS13" s="1022"/>
      <c r="AT13" s="1022"/>
      <c r="AU13" s="1022"/>
      <c r="AV13" s="1022"/>
      <c r="AW13" s="1022"/>
      <c r="AX13" s="1022"/>
      <c r="AY13" s="1022"/>
      <c r="AZ13" s="1022"/>
      <c r="BA13" s="1022"/>
      <c r="BB13" s="1022"/>
      <c r="BC13" s="1022"/>
      <c r="BD13" s="1022"/>
      <c r="BE13" s="1022"/>
      <c r="BF13" s="1022"/>
      <c r="BG13" s="1022"/>
      <c r="BH13" s="1022"/>
      <c r="BI13" s="1022"/>
      <c r="BJ13" s="1022"/>
      <c r="BK13" s="1022"/>
      <c r="BL13" s="1022"/>
      <c r="BM13" s="1022"/>
      <c r="BN13" s="1022"/>
      <c r="BO13" s="1022"/>
      <c r="BP13" s="1022"/>
      <c r="BQ13" s="1022"/>
      <c r="BR13" s="1022"/>
      <c r="BS13" s="1022"/>
      <c r="BT13" s="1022"/>
      <c r="BU13" s="1022"/>
      <c r="BV13" s="1022"/>
      <c r="BW13" s="1022"/>
      <c r="BX13" s="1022"/>
      <c r="BY13" s="1022"/>
      <c r="BZ13" s="1022"/>
      <c r="CA13" s="1022"/>
      <c r="CB13" s="1022"/>
      <c r="CC13" s="1022"/>
      <c r="CD13" s="1022"/>
      <c r="CE13" s="1022"/>
      <c r="CF13" s="1022"/>
      <c r="CG13" s="1022"/>
      <c r="CH13" s="1022"/>
      <c r="CI13" s="1022"/>
      <c r="CJ13" s="1022"/>
      <c r="CK13" s="1022"/>
      <c r="CL13" s="1022"/>
      <c r="CM13" s="1022"/>
      <c r="CN13" s="1022"/>
      <c r="CO13" s="1022"/>
      <c r="CP13" s="1022"/>
      <c r="CQ13" s="1022"/>
      <c r="CR13" s="1022"/>
      <c r="CS13" s="1022"/>
      <c r="CT13" s="1022"/>
      <c r="CU13" s="1022"/>
      <c r="CV13" s="1022"/>
      <c r="CW13" s="1022"/>
      <c r="CX13" s="1022"/>
      <c r="CY13" s="1022"/>
      <c r="CZ13" s="1022"/>
      <c r="DA13" s="1022"/>
      <c r="DB13" s="1022"/>
      <c r="DC13" s="1022"/>
      <c r="DD13" s="1022"/>
      <c r="DE13" s="1022"/>
      <c r="DF13" s="1022"/>
      <c r="DG13" s="1022"/>
      <c r="DH13" s="1022"/>
      <c r="DI13" s="1022"/>
      <c r="DJ13" s="1022"/>
      <c r="DK13" s="1022"/>
      <c r="DL13" s="1022"/>
      <c r="DM13" s="1022"/>
      <c r="DN13" s="1022"/>
      <c r="DO13" s="1022"/>
      <c r="DP13" s="1022"/>
      <c r="DQ13" s="1022"/>
      <c r="DR13" s="1022"/>
      <c r="DS13" s="1022"/>
      <c r="DT13" s="1022"/>
      <c r="DU13" s="1022"/>
      <c r="DV13" s="1022"/>
      <c r="DW13" s="1022"/>
      <c r="DX13" s="1022"/>
      <c r="DY13" s="1022"/>
      <c r="DZ13" s="1022"/>
      <c r="EA13" s="1022"/>
      <c r="EB13" s="1022"/>
      <c r="EC13" s="1022"/>
      <c r="ED13" s="1022"/>
      <c r="EE13" s="1022"/>
      <c r="EF13" s="1022"/>
      <c r="EG13" s="1022"/>
      <c r="EH13" s="1022"/>
      <c r="EI13" s="1022"/>
      <c r="EJ13" s="1022"/>
      <c r="EK13" s="1022"/>
      <c r="EL13" s="1022"/>
      <c r="EM13" s="1022"/>
      <c r="EN13" s="1022"/>
      <c r="EO13" s="1022"/>
      <c r="EP13" s="1022"/>
      <c r="EQ13" s="1022"/>
      <c r="ER13" s="1022"/>
      <c r="ES13" s="1022"/>
      <c r="ET13" s="1022"/>
      <c r="EU13" s="1022"/>
      <c r="EV13" s="1022"/>
      <c r="EW13" s="1022"/>
      <c r="EX13" s="1022"/>
      <c r="EY13" s="1022"/>
      <c r="EZ13" s="1022"/>
      <c r="FA13" s="1022"/>
      <c r="FB13" s="1022"/>
      <c r="FC13" s="1022"/>
      <c r="FD13" s="1022"/>
      <c r="FE13" s="1022"/>
      <c r="FF13" s="1022"/>
      <c r="FG13" s="1022"/>
      <c r="FH13" s="1022"/>
      <c r="FI13" s="1022"/>
      <c r="FJ13" s="1022"/>
      <c r="FK13" s="1022"/>
      <c r="FL13" s="1022"/>
      <c r="FM13" s="1022"/>
      <c r="FN13" s="1022"/>
      <c r="FO13" s="1022"/>
      <c r="FP13" s="1022"/>
      <c r="FQ13" s="1022"/>
      <c r="FR13" s="1022"/>
      <c r="FS13" s="1022"/>
      <c r="FT13" s="1022"/>
      <c r="FU13" s="1022"/>
      <c r="FV13" s="1022"/>
      <c r="FW13" s="1022"/>
      <c r="FX13" s="1022"/>
      <c r="FY13" s="1022"/>
      <c r="FZ13" s="1022"/>
      <c r="GA13" s="1022"/>
      <c r="GB13" s="1022"/>
      <c r="GC13" s="1022"/>
      <c r="GD13" s="1022"/>
      <c r="GE13" s="1022"/>
      <c r="GF13" s="1022"/>
      <c r="GG13" s="1022"/>
      <c r="GH13" s="1022"/>
      <c r="GI13" s="1022"/>
      <c r="GJ13" s="1022"/>
      <c r="GK13" s="1022"/>
      <c r="GL13" s="1022"/>
      <c r="GM13" s="1022"/>
      <c r="GN13" s="1022"/>
      <c r="GO13" s="1022"/>
      <c r="GP13" s="1022"/>
      <c r="GQ13" s="1022"/>
      <c r="GR13" s="1022"/>
      <c r="GS13" s="1022"/>
      <c r="GT13" s="1022"/>
      <c r="GU13" s="1022"/>
      <c r="GV13" s="1022"/>
      <c r="GW13" s="1022"/>
      <c r="GX13" s="1022"/>
      <c r="GY13" s="1022"/>
      <c r="GZ13" s="1022"/>
      <c r="HA13" s="1022"/>
      <c r="HB13" s="1022"/>
      <c r="HC13" s="1022"/>
      <c r="HD13" s="1022"/>
      <c r="HE13" s="1022"/>
      <c r="HF13" s="1022"/>
      <c r="HG13" s="1022"/>
      <c r="HH13" s="1022"/>
      <c r="HI13" s="1022"/>
      <c r="HJ13" s="1022"/>
      <c r="HK13" s="1022"/>
      <c r="HL13" s="1022"/>
      <c r="HM13" s="1022"/>
      <c r="HN13" s="1022"/>
      <c r="HO13" s="1022"/>
      <c r="HP13" s="1022"/>
      <c r="HQ13" s="1022"/>
      <c r="HR13" s="1022"/>
      <c r="HS13" s="1022"/>
      <c r="HT13" s="1022"/>
      <c r="HU13" s="1022"/>
      <c r="HV13" s="1022"/>
      <c r="HW13" s="1022"/>
      <c r="HX13" s="1022"/>
      <c r="HY13" s="1022"/>
      <c r="HZ13" s="1022"/>
      <c r="IA13" s="1022"/>
      <c r="IB13" s="1022"/>
      <c r="IC13" s="1022"/>
      <c r="ID13" s="1022"/>
      <c r="IE13" s="1022"/>
    </row>
    <row r="14" spans="1:239" s="17" customFormat="1" ht="167.25" customHeight="1" x14ac:dyDescent="0.2">
      <c r="A14" s="2392" t="s">
        <v>598</v>
      </c>
      <c r="B14" s="2393"/>
      <c r="C14" s="1517">
        <f>P14</f>
        <v>64029</v>
      </c>
      <c r="D14" s="1517">
        <v>77400.13</v>
      </c>
      <c r="E14" s="1518">
        <f>IF(C14="",IF(D14="",0,C14-D14),C14-D14)</f>
        <v>-13371.130000000005</v>
      </c>
      <c r="F14" s="2425" t="s">
        <v>1138</v>
      </c>
      <c r="G14" s="2426"/>
      <c r="H14" s="1517">
        <f>981106+C14</f>
        <v>1045135</v>
      </c>
      <c r="I14" s="1517">
        <f>905832+D14</f>
        <v>983232.13</v>
      </c>
      <c r="J14" s="1518">
        <f>IF(H14="",IF(I14="",0,H14-I14),H14-I14)</f>
        <v>61902.869999999995</v>
      </c>
      <c r="K14" s="1569" t="s">
        <v>1067</v>
      </c>
      <c r="L14" s="1032"/>
      <c r="M14" s="1022"/>
      <c r="N14" s="2392" t="s">
        <v>598</v>
      </c>
      <c r="O14" s="2393"/>
      <c r="P14" s="747">
        <f>'PR_Total PR Cash Outflow_3A'!C13</f>
        <v>64029</v>
      </c>
      <c r="Q14" s="747">
        <f>'PR_Total PR Cash Outflow_3A'!D13</f>
        <v>38835.31</v>
      </c>
      <c r="R14" s="748">
        <f>IF(P14="",IF(Q14="",0,P14-Q14),P14-Q14)</f>
        <v>25193.690000000002</v>
      </c>
      <c r="S14" s="2423"/>
      <c r="T14" s="2424"/>
      <c r="U14" s="747">
        <f>'PR_Total PR Cash Outflow_3A'!H13</f>
        <v>1173396</v>
      </c>
      <c r="V14" s="747">
        <f>'PR_Total PR Cash Outflow_3A'!I13</f>
        <v>1053132.76</v>
      </c>
      <c r="W14" s="748">
        <f>IF(U14="",IF(V14="",0,U14-V14),U14-V14)</f>
        <v>120263.23999999999</v>
      </c>
      <c r="X14" s="1083"/>
      <c r="Y14" s="1022"/>
      <c r="Z14" s="1022"/>
      <c r="AA14" s="1022"/>
      <c r="AB14" s="1022"/>
      <c r="AC14" s="1022"/>
      <c r="AD14" s="1022"/>
      <c r="AE14" s="1022"/>
      <c r="AF14" s="1022"/>
      <c r="AG14" s="1022"/>
      <c r="AH14" s="1022"/>
      <c r="AI14" s="1022"/>
      <c r="AJ14" s="1022"/>
      <c r="AK14" s="1022"/>
      <c r="AL14" s="1022"/>
      <c r="AM14" s="1022"/>
      <c r="AN14" s="1022"/>
      <c r="AO14" s="1022"/>
      <c r="AP14" s="1022"/>
      <c r="AQ14" s="1022"/>
      <c r="AR14" s="1022"/>
      <c r="AS14" s="1022"/>
      <c r="AT14" s="1022"/>
      <c r="AU14" s="1022"/>
      <c r="AV14" s="1022"/>
      <c r="AW14" s="1022"/>
      <c r="AX14" s="1022"/>
      <c r="AY14" s="1022"/>
      <c r="AZ14" s="1022"/>
      <c r="BA14" s="1022"/>
      <c r="BB14" s="1022"/>
      <c r="BC14" s="1022"/>
      <c r="BD14" s="1022"/>
      <c r="BE14" s="1022"/>
      <c r="BF14" s="1022"/>
      <c r="BG14" s="1022"/>
      <c r="BH14" s="1022"/>
      <c r="BI14" s="1022"/>
      <c r="BJ14" s="1022"/>
      <c r="BK14" s="1022"/>
      <c r="BL14" s="1022"/>
      <c r="BM14" s="1022"/>
      <c r="BN14" s="1022"/>
      <c r="BO14" s="1022"/>
      <c r="BP14" s="1022"/>
      <c r="BQ14" s="1022"/>
      <c r="BR14" s="1022"/>
      <c r="BS14" s="1022"/>
      <c r="BT14" s="1022"/>
      <c r="BU14" s="1022"/>
      <c r="BV14" s="1022"/>
      <c r="BW14" s="1022"/>
      <c r="BX14" s="1022"/>
      <c r="BY14" s="1022"/>
      <c r="BZ14" s="1022"/>
      <c r="CA14" s="1022"/>
      <c r="CB14" s="1022"/>
      <c r="CC14" s="1022"/>
      <c r="CD14" s="1022"/>
      <c r="CE14" s="1022"/>
      <c r="CF14" s="1022"/>
      <c r="CG14" s="1022"/>
      <c r="CH14" s="1022"/>
      <c r="CI14" s="1022"/>
      <c r="CJ14" s="1022"/>
      <c r="CK14" s="1022"/>
      <c r="CL14" s="1022"/>
      <c r="CM14" s="1022"/>
      <c r="CN14" s="1022"/>
      <c r="CO14" s="1022"/>
      <c r="CP14" s="1022"/>
      <c r="CQ14" s="1022"/>
      <c r="CR14" s="1022"/>
      <c r="CS14" s="1022"/>
      <c r="CT14" s="1022"/>
      <c r="CU14" s="1022"/>
      <c r="CV14" s="1022"/>
      <c r="CW14" s="1022"/>
      <c r="CX14" s="1022"/>
      <c r="CY14" s="1022"/>
      <c r="CZ14" s="1022"/>
      <c r="DA14" s="1022"/>
      <c r="DB14" s="1022"/>
      <c r="DC14" s="1022"/>
      <c r="DD14" s="1022"/>
      <c r="DE14" s="1022"/>
      <c r="DF14" s="1022"/>
      <c r="DG14" s="1022"/>
      <c r="DH14" s="1022"/>
      <c r="DI14" s="1022"/>
      <c r="DJ14" s="1022"/>
      <c r="DK14" s="1022"/>
      <c r="DL14" s="1022"/>
      <c r="DM14" s="1022"/>
      <c r="DN14" s="1022"/>
      <c r="DO14" s="1022"/>
      <c r="DP14" s="1022"/>
      <c r="DQ14" s="1022"/>
      <c r="DR14" s="1022"/>
      <c r="DS14" s="1022"/>
      <c r="DT14" s="1022"/>
      <c r="DU14" s="1022"/>
      <c r="DV14" s="1022"/>
      <c r="DW14" s="1022"/>
      <c r="DX14" s="1022"/>
      <c r="DY14" s="1022"/>
      <c r="DZ14" s="1022"/>
      <c r="EA14" s="1022"/>
      <c r="EB14" s="1022"/>
      <c r="EC14" s="1022"/>
      <c r="ED14" s="1022"/>
      <c r="EE14" s="1022"/>
      <c r="EF14" s="1022"/>
      <c r="EG14" s="1022"/>
      <c r="EH14" s="1022"/>
      <c r="EI14" s="1022"/>
      <c r="EJ14" s="1022"/>
      <c r="EK14" s="1022"/>
      <c r="EL14" s="1022"/>
      <c r="EM14" s="1022"/>
      <c r="EN14" s="1022"/>
      <c r="EO14" s="1022"/>
      <c r="EP14" s="1022"/>
      <c r="EQ14" s="1022"/>
      <c r="ER14" s="1022"/>
      <c r="ES14" s="1022"/>
      <c r="ET14" s="1022"/>
      <c r="EU14" s="1022"/>
      <c r="EV14" s="1022"/>
      <c r="EW14" s="1022"/>
      <c r="EX14" s="1022"/>
      <c r="EY14" s="1022"/>
      <c r="EZ14" s="1022"/>
      <c r="FA14" s="1022"/>
      <c r="FB14" s="1022"/>
      <c r="FC14" s="1022"/>
      <c r="FD14" s="1022"/>
      <c r="FE14" s="1022"/>
      <c r="FF14" s="1022"/>
      <c r="FG14" s="1022"/>
      <c r="FH14" s="1022"/>
      <c r="FI14" s="1022"/>
      <c r="FJ14" s="1022"/>
      <c r="FK14" s="1022"/>
      <c r="FL14" s="1022"/>
      <c r="FM14" s="1022"/>
      <c r="FN14" s="1022"/>
      <c r="FO14" s="1022"/>
      <c r="FP14" s="1022"/>
      <c r="FQ14" s="1022"/>
      <c r="FR14" s="1022"/>
      <c r="FS14" s="1022"/>
      <c r="FT14" s="1022"/>
      <c r="FU14" s="1022"/>
      <c r="FV14" s="1022"/>
      <c r="FW14" s="1022"/>
      <c r="FX14" s="1022"/>
      <c r="FY14" s="1022"/>
      <c r="FZ14" s="1022"/>
      <c r="GA14" s="1022"/>
      <c r="GB14" s="1022"/>
      <c r="GC14" s="1022"/>
      <c r="GD14" s="1022"/>
      <c r="GE14" s="1022"/>
      <c r="GF14" s="1022"/>
      <c r="GG14" s="1022"/>
      <c r="GH14" s="1022"/>
      <c r="GI14" s="1022"/>
      <c r="GJ14" s="1022"/>
      <c r="GK14" s="1022"/>
      <c r="GL14" s="1022"/>
      <c r="GM14" s="1022"/>
      <c r="GN14" s="1022"/>
      <c r="GO14" s="1022"/>
      <c r="GP14" s="1022"/>
      <c r="GQ14" s="1022"/>
      <c r="GR14" s="1022"/>
      <c r="GS14" s="1022"/>
      <c r="GT14" s="1022"/>
      <c r="GU14" s="1022"/>
      <c r="GV14" s="1022"/>
      <c r="GW14" s="1022"/>
      <c r="GX14" s="1022"/>
      <c r="GY14" s="1022"/>
      <c r="GZ14" s="1022"/>
      <c r="HA14" s="1022"/>
      <c r="HB14" s="1022"/>
      <c r="HC14" s="1022"/>
      <c r="HD14" s="1022"/>
      <c r="HE14" s="1022"/>
      <c r="HF14" s="1022"/>
      <c r="HG14" s="1022"/>
      <c r="HH14" s="1022"/>
      <c r="HI14" s="1022"/>
      <c r="HJ14" s="1022"/>
      <c r="HK14" s="1022"/>
      <c r="HL14" s="1022"/>
      <c r="HM14" s="1022"/>
      <c r="HN14" s="1022"/>
      <c r="HO14" s="1022"/>
      <c r="HP14" s="1022"/>
      <c r="HQ14" s="1022"/>
      <c r="HR14" s="1022"/>
      <c r="HS14" s="1022"/>
      <c r="HT14" s="1022"/>
      <c r="HU14" s="1022"/>
      <c r="HV14" s="1022"/>
      <c r="HW14" s="1022"/>
      <c r="HX14" s="1022"/>
      <c r="HY14" s="1022"/>
      <c r="HZ14" s="1022"/>
      <c r="IA14" s="1022"/>
      <c r="IB14" s="1022"/>
      <c r="IC14" s="1022"/>
      <c r="ID14" s="1022"/>
      <c r="IE14" s="1022"/>
    </row>
    <row r="15" spans="1:239" s="17" customFormat="1" ht="167.25" customHeight="1" thickBot="1" x14ac:dyDescent="0.25">
      <c r="A15" s="2394" t="s">
        <v>599</v>
      </c>
      <c r="B15" s="2395"/>
      <c r="C15" s="1519">
        <f>P15</f>
        <v>108180</v>
      </c>
      <c r="D15" s="1519">
        <v>38343.35</v>
      </c>
      <c r="E15" s="1520">
        <f>IF(C15="",IF(D15="",0,C15-D15),C15-D15)</f>
        <v>69836.649999999994</v>
      </c>
      <c r="F15" s="2431" t="s">
        <v>1139</v>
      </c>
      <c r="G15" s="2432"/>
      <c r="H15" s="1519">
        <f>1249062.07+C15</f>
        <v>1357242.07</v>
      </c>
      <c r="I15" s="1519">
        <f>1022774+D15</f>
        <v>1061117.3500000001</v>
      </c>
      <c r="J15" s="1520">
        <f>IF(H15="",IF(I15="",0,H15-I15),H15-I15)</f>
        <v>296124.71999999997</v>
      </c>
      <c r="K15" s="1570" t="s">
        <v>1068</v>
      </c>
      <c r="L15" s="1032"/>
      <c r="M15" s="1022"/>
      <c r="N15" s="2394" t="s">
        <v>599</v>
      </c>
      <c r="O15" s="2395"/>
      <c r="P15" s="749">
        <f>'PR_Total PR Cash Outflow_3A'!C14</f>
        <v>108180</v>
      </c>
      <c r="Q15" s="749">
        <f>'PR_Total PR Cash Outflow_3A'!D14</f>
        <v>50186.239999999998</v>
      </c>
      <c r="R15" s="750">
        <f>IF(P15="",IF(Q15="",0,P15-Q15),P15-Q15)</f>
        <v>57993.760000000002</v>
      </c>
      <c r="S15" s="2433"/>
      <c r="T15" s="2434"/>
      <c r="U15" s="749">
        <f>'PR_Total PR Cash Outflow_3A'!H14</f>
        <v>1443962.07</v>
      </c>
      <c r="V15" s="749">
        <f>'PR_Total PR Cash Outflow_3A'!I14</f>
        <v>1183188.3500000001</v>
      </c>
      <c r="W15" s="750">
        <f>IF(U15="",IF(V15="",0,U15-V15),U15-V15)</f>
        <v>260773.71999999997</v>
      </c>
      <c r="X15" s="1084"/>
      <c r="Y15" s="1022"/>
      <c r="Z15" s="1022"/>
      <c r="AA15" s="1022"/>
      <c r="AB15" s="1022"/>
      <c r="AC15" s="1022"/>
      <c r="AD15" s="1022"/>
      <c r="AE15" s="1022"/>
      <c r="AF15" s="1022"/>
      <c r="AG15" s="1022"/>
      <c r="AH15" s="1022"/>
      <c r="AI15" s="1022"/>
      <c r="AJ15" s="1022"/>
      <c r="AK15" s="1022"/>
      <c r="AL15" s="1022"/>
      <c r="AM15" s="1022"/>
      <c r="AN15" s="1022"/>
      <c r="AO15" s="1022"/>
      <c r="AP15" s="1022"/>
      <c r="AQ15" s="1022"/>
      <c r="AR15" s="1022"/>
      <c r="AS15" s="1022"/>
      <c r="AT15" s="1022"/>
      <c r="AU15" s="1022"/>
      <c r="AV15" s="1022"/>
      <c r="AW15" s="1022"/>
      <c r="AX15" s="1022"/>
      <c r="AY15" s="1022"/>
      <c r="AZ15" s="1022"/>
      <c r="BA15" s="1022"/>
      <c r="BB15" s="1022"/>
      <c r="BC15" s="1022"/>
      <c r="BD15" s="1022"/>
      <c r="BE15" s="1022"/>
      <c r="BF15" s="1022"/>
      <c r="BG15" s="1022"/>
      <c r="BH15" s="1022"/>
      <c r="BI15" s="1022"/>
      <c r="BJ15" s="1022"/>
      <c r="BK15" s="1022"/>
      <c r="BL15" s="1022"/>
      <c r="BM15" s="1022"/>
      <c r="BN15" s="1022"/>
      <c r="BO15" s="1022"/>
      <c r="BP15" s="1022"/>
      <c r="BQ15" s="1022"/>
      <c r="BR15" s="1022"/>
      <c r="BS15" s="1022"/>
      <c r="BT15" s="1022"/>
      <c r="BU15" s="1022"/>
      <c r="BV15" s="1022"/>
      <c r="BW15" s="1022"/>
      <c r="BX15" s="1022"/>
      <c r="BY15" s="1022"/>
      <c r="BZ15" s="1022"/>
      <c r="CA15" s="1022"/>
      <c r="CB15" s="1022"/>
      <c r="CC15" s="1022"/>
      <c r="CD15" s="1022"/>
      <c r="CE15" s="1022"/>
      <c r="CF15" s="1022"/>
      <c r="CG15" s="1022"/>
      <c r="CH15" s="1022"/>
      <c r="CI15" s="1022"/>
      <c r="CJ15" s="1022"/>
      <c r="CK15" s="1022"/>
      <c r="CL15" s="1022"/>
      <c r="CM15" s="1022"/>
      <c r="CN15" s="1022"/>
      <c r="CO15" s="1022"/>
      <c r="CP15" s="1022"/>
      <c r="CQ15" s="1022"/>
      <c r="CR15" s="1022"/>
      <c r="CS15" s="1022"/>
      <c r="CT15" s="1022"/>
      <c r="CU15" s="1022"/>
      <c r="CV15" s="1022"/>
      <c r="CW15" s="1022"/>
      <c r="CX15" s="1022"/>
      <c r="CY15" s="1022"/>
      <c r="CZ15" s="1022"/>
      <c r="DA15" s="1022"/>
      <c r="DB15" s="1022"/>
      <c r="DC15" s="1022"/>
      <c r="DD15" s="1022"/>
      <c r="DE15" s="1022"/>
      <c r="DF15" s="1022"/>
      <c r="DG15" s="1022"/>
      <c r="DH15" s="1022"/>
      <c r="DI15" s="1022"/>
      <c r="DJ15" s="1022"/>
      <c r="DK15" s="1022"/>
      <c r="DL15" s="1022"/>
      <c r="DM15" s="1022"/>
      <c r="DN15" s="1022"/>
      <c r="DO15" s="1022"/>
      <c r="DP15" s="1022"/>
      <c r="DQ15" s="1022"/>
      <c r="DR15" s="1022"/>
      <c r="DS15" s="1022"/>
      <c r="DT15" s="1022"/>
      <c r="DU15" s="1022"/>
      <c r="DV15" s="1022"/>
      <c r="DW15" s="1022"/>
      <c r="DX15" s="1022"/>
      <c r="DY15" s="1022"/>
      <c r="DZ15" s="1022"/>
      <c r="EA15" s="1022"/>
      <c r="EB15" s="1022"/>
      <c r="EC15" s="1022"/>
      <c r="ED15" s="1022"/>
      <c r="EE15" s="1022"/>
      <c r="EF15" s="1022"/>
      <c r="EG15" s="1022"/>
      <c r="EH15" s="1022"/>
      <c r="EI15" s="1022"/>
      <c r="EJ15" s="1022"/>
      <c r="EK15" s="1022"/>
      <c r="EL15" s="1022"/>
      <c r="EM15" s="1022"/>
      <c r="EN15" s="1022"/>
      <c r="EO15" s="1022"/>
      <c r="EP15" s="1022"/>
      <c r="EQ15" s="1022"/>
      <c r="ER15" s="1022"/>
      <c r="ES15" s="1022"/>
      <c r="ET15" s="1022"/>
      <c r="EU15" s="1022"/>
      <c r="EV15" s="1022"/>
      <c r="EW15" s="1022"/>
      <c r="EX15" s="1022"/>
      <c r="EY15" s="1022"/>
      <c r="EZ15" s="1022"/>
      <c r="FA15" s="1022"/>
      <c r="FB15" s="1022"/>
      <c r="FC15" s="1022"/>
      <c r="FD15" s="1022"/>
      <c r="FE15" s="1022"/>
      <c r="FF15" s="1022"/>
      <c r="FG15" s="1022"/>
      <c r="FH15" s="1022"/>
      <c r="FI15" s="1022"/>
      <c r="FJ15" s="1022"/>
      <c r="FK15" s="1022"/>
      <c r="FL15" s="1022"/>
      <c r="FM15" s="1022"/>
      <c r="FN15" s="1022"/>
      <c r="FO15" s="1022"/>
      <c r="FP15" s="1022"/>
      <c r="FQ15" s="1022"/>
      <c r="FR15" s="1022"/>
      <c r="FS15" s="1022"/>
      <c r="FT15" s="1022"/>
      <c r="FU15" s="1022"/>
      <c r="FV15" s="1022"/>
      <c r="FW15" s="1022"/>
      <c r="FX15" s="1022"/>
      <c r="FY15" s="1022"/>
      <c r="FZ15" s="1022"/>
      <c r="GA15" s="1022"/>
      <c r="GB15" s="1022"/>
      <c r="GC15" s="1022"/>
      <c r="GD15" s="1022"/>
      <c r="GE15" s="1022"/>
      <c r="GF15" s="1022"/>
      <c r="GG15" s="1022"/>
      <c r="GH15" s="1022"/>
      <c r="GI15" s="1022"/>
      <c r="GJ15" s="1022"/>
      <c r="GK15" s="1022"/>
      <c r="GL15" s="1022"/>
      <c r="GM15" s="1022"/>
      <c r="GN15" s="1022"/>
      <c r="GO15" s="1022"/>
      <c r="GP15" s="1022"/>
      <c r="GQ15" s="1022"/>
      <c r="GR15" s="1022"/>
      <c r="GS15" s="1022"/>
      <c r="GT15" s="1022"/>
      <c r="GU15" s="1022"/>
      <c r="GV15" s="1022"/>
      <c r="GW15" s="1022"/>
      <c r="GX15" s="1022"/>
      <c r="GY15" s="1022"/>
      <c r="GZ15" s="1022"/>
      <c r="HA15" s="1022"/>
      <c r="HB15" s="1022"/>
      <c r="HC15" s="1022"/>
      <c r="HD15" s="1022"/>
      <c r="HE15" s="1022"/>
      <c r="HF15" s="1022"/>
      <c r="HG15" s="1022"/>
      <c r="HH15" s="1022"/>
      <c r="HI15" s="1022"/>
      <c r="HJ15" s="1022"/>
      <c r="HK15" s="1022"/>
      <c r="HL15" s="1022"/>
      <c r="HM15" s="1022"/>
      <c r="HN15" s="1022"/>
      <c r="HO15" s="1022"/>
      <c r="HP15" s="1022"/>
      <c r="HQ15" s="1022"/>
      <c r="HR15" s="1022"/>
      <c r="HS15" s="1022"/>
      <c r="HT15" s="1022"/>
      <c r="HU15" s="1022"/>
      <c r="HV15" s="1022"/>
      <c r="HW15" s="1022"/>
      <c r="HX15" s="1022"/>
      <c r="HY15" s="1022"/>
      <c r="HZ15" s="1022"/>
      <c r="IA15" s="1022"/>
      <c r="IB15" s="1022"/>
      <c r="IC15" s="1022"/>
      <c r="ID15" s="1022"/>
      <c r="IE15" s="1022"/>
    </row>
    <row r="16" spans="1:239" s="17" customFormat="1" ht="22.5" customHeight="1" thickBot="1" x14ac:dyDescent="0.25">
      <c r="A16" s="474"/>
      <c r="B16" s="475"/>
      <c r="C16" s="361"/>
      <c r="D16" s="361"/>
      <c r="E16" s="361"/>
      <c r="F16" s="82"/>
      <c r="G16" s="82"/>
      <c r="H16" s="361"/>
      <c r="I16" s="361"/>
      <c r="J16" s="361"/>
      <c r="K16" s="82"/>
      <c r="L16" s="361"/>
      <c r="M16" s="1022"/>
      <c r="N16" s="1085"/>
      <c r="O16" s="475"/>
      <c r="P16" s="361"/>
      <c r="Q16" s="361"/>
      <c r="R16" s="361"/>
      <c r="S16" s="82"/>
      <c r="T16" s="82"/>
      <c r="U16" s="361"/>
      <c r="V16" s="361"/>
      <c r="W16" s="361"/>
      <c r="X16" s="1086"/>
      <c r="Y16" s="1022"/>
      <c r="Z16" s="1022"/>
      <c r="AA16" s="1022"/>
      <c r="AB16" s="1022"/>
      <c r="AC16" s="1022"/>
      <c r="AD16" s="1022"/>
      <c r="AE16" s="1022"/>
      <c r="AF16" s="1022"/>
      <c r="AG16" s="1022"/>
      <c r="AH16" s="1022"/>
      <c r="AI16" s="1022"/>
      <c r="AJ16" s="1022"/>
      <c r="AK16" s="1022"/>
      <c r="AL16" s="1022"/>
      <c r="AM16" s="1022"/>
      <c r="AN16" s="1022"/>
      <c r="AO16" s="1022"/>
      <c r="AP16" s="1022"/>
      <c r="AQ16" s="1022"/>
      <c r="AR16" s="1022"/>
      <c r="AS16" s="1022"/>
      <c r="AT16" s="1022"/>
      <c r="AU16" s="1022"/>
      <c r="AV16" s="1022"/>
      <c r="AW16" s="1022"/>
      <c r="AX16" s="1022"/>
      <c r="AY16" s="1022"/>
      <c r="AZ16" s="1022"/>
      <c r="BA16" s="1022"/>
      <c r="BB16" s="1022"/>
      <c r="BC16" s="1022"/>
      <c r="BD16" s="1022"/>
      <c r="BE16" s="1022"/>
      <c r="BF16" s="1022"/>
      <c r="BG16" s="1022"/>
      <c r="BH16" s="1022"/>
      <c r="BI16" s="1022"/>
      <c r="BJ16" s="1022"/>
      <c r="BK16" s="1022"/>
      <c r="BL16" s="1022"/>
      <c r="BM16" s="1022"/>
      <c r="BN16" s="1022"/>
      <c r="BO16" s="1022"/>
      <c r="BP16" s="1022"/>
      <c r="BQ16" s="1022"/>
      <c r="BR16" s="1022"/>
      <c r="BS16" s="1022"/>
      <c r="BT16" s="1022"/>
      <c r="BU16" s="1022"/>
      <c r="BV16" s="1022"/>
      <c r="BW16" s="1022"/>
      <c r="BX16" s="1022"/>
      <c r="BY16" s="1022"/>
      <c r="BZ16" s="1022"/>
      <c r="CA16" s="1022"/>
      <c r="CB16" s="1022"/>
      <c r="CC16" s="1022"/>
      <c r="CD16" s="1022"/>
      <c r="CE16" s="1022"/>
      <c r="CF16" s="1022"/>
      <c r="CG16" s="1022"/>
      <c r="CH16" s="1022"/>
      <c r="CI16" s="1022"/>
      <c r="CJ16" s="1022"/>
      <c r="CK16" s="1022"/>
      <c r="CL16" s="1022"/>
      <c r="CM16" s="1022"/>
      <c r="CN16" s="1022"/>
      <c r="CO16" s="1022"/>
      <c r="CP16" s="1022"/>
      <c r="CQ16" s="1022"/>
      <c r="CR16" s="1022"/>
      <c r="CS16" s="1022"/>
      <c r="CT16" s="1022"/>
      <c r="CU16" s="1022"/>
      <c r="CV16" s="1022"/>
      <c r="CW16" s="1022"/>
      <c r="CX16" s="1022"/>
      <c r="CY16" s="1022"/>
      <c r="CZ16" s="1022"/>
      <c r="DA16" s="1022"/>
      <c r="DB16" s="1022"/>
      <c r="DC16" s="1022"/>
      <c r="DD16" s="1022"/>
      <c r="DE16" s="1022"/>
      <c r="DF16" s="1022"/>
      <c r="DG16" s="1022"/>
      <c r="DH16" s="1022"/>
      <c r="DI16" s="1022"/>
      <c r="DJ16" s="1022"/>
      <c r="DK16" s="1022"/>
      <c r="DL16" s="1022"/>
      <c r="DM16" s="1022"/>
      <c r="DN16" s="1022"/>
      <c r="DO16" s="1022"/>
      <c r="DP16" s="1022"/>
      <c r="DQ16" s="1022"/>
      <c r="DR16" s="1022"/>
      <c r="DS16" s="1022"/>
      <c r="DT16" s="1022"/>
      <c r="DU16" s="1022"/>
      <c r="DV16" s="1022"/>
      <c r="DW16" s="1022"/>
      <c r="DX16" s="1022"/>
      <c r="DY16" s="1022"/>
      <c r="DZ16" s="1022"/>
      <c r="EA16" s="1022"/>
      <c r="EB16" s="1022"/>
      <c r="EC16" s="1022"/>
      <c r="ED16" s="1022"/>
      <c r="EE16" s="1022"/>
      <c r="EF16" s="1022"/>
      <c r="EG16" s="1022"/>
      <c r="EH16" s="1022"/>
      <c r="EI16" s="1022"/>
      <c r="EJ16" s="1022"/>
      <c r="EK16" s="1022"/>
      <c r="EL16" s="1022"/>
      <c r="EM16" s="1022"/>
      <c r="EN16" s="1022"/>
      <c r="EO16" s="1022"/>
      <c r="EP16" s="1022"/>
      <c r="EQ16" s="1022"/>
      <c r="ER16" s="1022"/>
      <c r="ES16" s="1022"/>
      <c r="ET16" s="1022"/>
      <c r="EU16" s="1022"/>
      <c r="EV16" s="1022"/>
      <c r="EW16" s="1022"/>
      <c r="EX16" s="1022"/>
      <c r="EY16" s="1022"/>
      <c r="EZ16" s="1022"/>
      <c r="FA16" s="1022"/>
      <c r="FB16" s="1022"/>
      <c r="FC16" s="1022"/>
      <c r="FD16" s="1022"/>
      <c r="FE16" s="1022"/>
      <c r="FF16" s="1022"/>
      <c r="FG16" s="1022"/>
      <c r="FH16" s="1022"/>
      <c r="FI16" s="1022"/>
      <c r="FJ16" s="1022"/>
      <c r="FK16" s="1022"/>
      <c r="FL16" s="1022"/>
      <c r="FM16" s="1022"/>
      <c r="FN16" s="1022"/>
      <c r="FO16" s="1022"/>
      <c r="FP16" s="1022"/>
      <c r="FQ16" s="1022"/>
      <c r="FR16" s="1022"/>
      <c r="FS16" s="1022"/>
      <c r="FT16" s="1022"/>
      <c r="FU16" s="1022"/>
      <c r="FV16" s="1022"/>
      <c r="FW16" s="1022"/>
      <c r="FX16" s="1022"/>
      <c r="FY16" s="1022"/>
      <c r="FZ16" s="1022"/>
      <c r="GA16" s="1022"/>
      <c r="GB16" s="1022"/>
      <c r="GC16" s="1022"/>
      <c r="GD16" s="1022"/>
      <c r="GE16" s="1022"/>
      <c r="GF16" s="1022"/>
      <c r="GG16" s="1022"/>
      <c r="GH16" s="1022"/>
      <c r="GI16" s="1022"/>
      <c r="GJ16" s="1022"/>
      <c r="GK16" s="1022"/>
      <c r="GL16" s="1022"/>
      <c r="GM16" s="1022"/>
      <c r="GN16" s="1022"/>
      <c r="GO16" s="1022"/>
      <c r="GP16" s="1022"/>
      <c r="GQ16" s="1022"/>
      <c r="GR16" s="1022"/>
      <c r="GS16" s="1022"/>
      <c r="GT16" s="1022"/>
      <c r="GU16" s="1022"/>
      <c r="GV16" s="1022"/>
      <c r="GW16" s="1022"/>
      <c r="GX16" s="1022"/>
      <c r="GY16" s="1022"/>
      <c r="GZ16" s="1022"/>
      <c r="HA16" s="1022"/>
      <c r="HB16" s="1022"/>
      <c r="HC16" s="1022"/>
      <c r="HD16" s="1022"/>
      <c r="HE16" s="1022"/>
      <c r="HF16" s="1022"/>
      <c r="HG16" s="1022"/>
      <c r="HH16" s="1022"/>
      <c r="HI16" s="1022"/>
      <c r="HJ16" s="1022"/>
      <c r="HK16" s="1022"/>
      <c r="HL16" s="1022"/>
      <c r="HM16" s="1022"/>
      <c r="HN16" s="1022"/>
      <c r="HO16" s="1022"/>
      <c r="HP16" s="1022"/>
      <c r="HQ16" s="1022"/>
      <c r="HR16" s="1022"/>
      <c r="HS16" s="1022"/>
      <c r="HT16" s="1022"/>
      <c r="HU16" s="1022"/>
      <c r="HV16" s="1022"/>
      <c r="HW16" s="1022"/>
      <c r="HX16" s="1022"/>
      <c r="HY16" s="1022"/>
      <c r="HZ16" s="1022"/>
      <c r="IA16" s="1022"/>
      <c r="IB16" s="1022"/>
      <c r="IC16" s="1022"/>
      <c r="ID16" s="1022"/>
      <c r="IE16" s="1022"/>
    </row>
    <row r="17" spans="1:239" s="17" customFormat="1" ht="100.5" customHeight="1" thickBot="1" x14ac:dyDescent="0.25">
      <c r="A17" s="2385"/>
      <c r="B17" s="2386"/>
      <c r="C17" s="867" t="s">
        <v>123</v>
      </c>
      <c r="D17" s="867" t="s">
        <v>124</v>
      </c>
      <c r="E17" s="869" t="s">
        <v>596</v>
      </c>
      <c r="F17" s="2388" t="s">
        <v>574</v>
      </c>
      <c r="G17" s="2389"/>
      <c r="H17" s="867" t="s">
        <v>131</v>
      </c>
      <c r="I17" s="867" t="s">
        <v>125</v>
      </c>
      <c r="J17" s="867" t="s">
        <v>596</v>
      </c>
      <c r="K17" s="1010" t="s">
        <v>574</v>
      </c>
      <c r="L17" s="1032"/>
      <c r="M17" s="1022"/>
      <c r="N17" s="2385"/>
      <c r="O17" s="2386"/>
      <c r="P17" s="867" t="s">
        <v>123</v>
      </c>
      <c r="Q17" s="867" t="s">
        <v>124</v>
      </c>
      <c r="R17" s="869" t="s">
        <v>596</v>
      </c>
      <c r="S17" s="2388" t="s">
        <v>574</v>
      </c>
      <c r="T17" s="2389"/>
      <c r="U17" s="867" t="s">
        <v>131</v>
      </c>
      <c r="V17" s="867" t="s">
        <v>125</v>
      </c>
      <c r="W17" s="867" t="s">
        <v>596</v>
      </c>
      <c r="X17" s="1079" t="s">
        <v>574</v>
      </c>
      <c r="Y17" s="1022"/>
      <c r="Z17" s="1022"/>
      <c r="AA17" s="1022"/>
      <c r="AB17" s="1022"/>
      <c r="AC17" s="1022"/>
      <c r="AD17" s="1022"/>
      <c r="AE17" s="1022"/>
      <c r="AF17" s="1022"/>
      <c r="AG17" s="1022"/>
      <c r="AH17" s="1022"/>
      <c r="AI17" s="1022"/>
      <c r="AJ17" s="1022"/>
      <c r="AK17" s="1022"/>
      <c r="AL17" s="1022"/>
      <c r="AM17" s="1022"/>
      <c r="AN17" s="1022"/>
      <c r="AO17" s="1022"/>
      <c r="AP17" s="1022"/>
      <c r="AQ17" s="1022"/>
      <c r="AR17" s="1022"/>
      <c r="AS17" s="1022"/>
      <c r="AT17" s="1022"/>
      <c r="AU17" s="1022"/>
      <c r="AV17" s="1022"/>
      <c r="AW17" s="1022"/>
      <c r="AX17" s="1022"/>
      <c r="AY17" s="1022"/>
      <c r="AZ17" s="1022"/>
      <c r="BA17" s="1022"/>
      <c r="BB17" s="1022"/>
      <c r="BC17" s="1022"/>
      <c r="BD17" s="1022"/>
      <c r="BE17" s="1022"/>
      <c r="BF17" s="1022"/>
      <c r="BG17" s="1022"/>
      <c r="BH17" s="1022"/>
      <c r="BI17" s="1022"/>
      <c r="BJ17" s="1022"/>
      <c r="BK17" s="1022"/>
      <c r="BL17" s="1022"/>
      <c r="BM17" s="1022"/>
      <c r="BN17" s="1022"/>
      <c r="BO17" s="1022"/>
      <c r="BP17" s="1022"/>
      <c r="BQ17" s="1022"/>
      <c r="BR17" s="1022"/>
      <c r="BS17" s="1022"/>
      <c r="BT17" s="1022"/>
      <c r="BU17" s="1022"/>
      <c r="BV17" s="1022"/>
      <c r="BW17" s="1022"/>
      <c r="BX17" s="1022"/>
      <c r="BY17" s="1022"/>
      <c r="BZ17" s="1022"/>
      <c r="CA17" s="1022"/>
      <c r="CB17" s="1022"/>
      <c r="CC17" s="1022"/>
      <c r="CD17" s="1022"/>
      <c r="CE17" s="1022"/>
      <c r="CF17" s="1022"/>
      <c r="CG17" s="1022"/>
      <c r="CH17" s="1022"/>
      <c r="CI17" s="1022"/>
      <c r="CJ17" s="1022"/>
      <c r="CK17" s="1022"/>
      <c r="CL17" s="1022"/>
      <c r="CM17" s="1022"/>
      <c r="CN17" s="1022"/>
      <c r="CO17" s="1022"/>
      <c r="CP17" s="1022"/>
      <c r="CQ17" s="1022"/>
      <c r="CR17" s="1022"/>
      <c r="CS17" s="1022"/>
      <c r="CT17" s="1022"/>
      <c r="CU17" s="1022"/>
      <c r="CV17" s="1022"/>
      <c r="CW17" s="1022"/>
      <c r="CX17" s="1022"/>
      <c r="CY17" s="1022"/>
      <c r="CZ17" s="1022"/>
      <c r="DA17" s="1022"/>
      <c r="DB17" s="1022"/>
      <c r="DC17" s="1022"/>
      <c r="DD17" s="1022"/>
      <c r="DE17" s="1022"/>
      <c r="DF17" s="1022"/>
      <c r="DG17" s="1022"/>
      <c r="DH17" s="1022"/>
      <c r="DI17" s="1022"/>
      <c r="DJ17" s="1022"/>
      <c r="DK17" s="1022"/>
      <c r="DL17" s="1022"/>
      <c r="DM17" s="1022"/>
      <c r="DN17" s="1022"/>
      <c r="DO17" s="1022"/>
      <c r="DP17" s="1022"/>
      <c r="DQ17" s="1022"/>
      <c r="DR17" s="1022"/>
      <c r="DS17" s="1022"/>
      <c r="DT17" s="1022"/>
      <c r="DU17" s="1022"/>
      <c r="DV17" s="1022"/>
      <c r="DW17" s="1022"/>
      <c r="DX17" s="1022"/>
      <c r="DY17" s="1022"/>
      <c r="DZ17" s="1022"/>
      <c r="EA17" s="1022"/>
      <c r="EB17" s="1022"/>
      <c r="EC17" s="1022"/>
      <c r="ED17" s="1022"/>
      <c r="EE17" s="1022"/>
      <c r="EF17" s="1022"/>
      <c r="EG17" s="1022"/>
      <c r="EH17" s="1022"/>
      <c r="EI17" s="1022"/>
      <c r="EJ17" s="1022"/>
      <c r="EK17" s="1022"/>
      <c r="EL17" s="1022"/>
      <c r="EM17" s="1022"/>
      <c r="EN17" s="1022"/>
      <c r="EO17" s="1022"/>
      <c r="EP17" s="1022"/>
      <c r="EQ17" s="1022"/>
      <c r="ER17" s="1022"/>
      <c r="ES17" s="1022"/>
      <c r="ET17" s="1022"/>
      <c r="EU17" s="1022"/>
      <c r="EV17" s="1022"/>
      <c r="EW17" s="1022"/>
      <c r="EX17" s="1022"/>
      <c r="EY17" s="1022"/>
      <c r="EZ17" s="1022"/>
      <c r="FA17" s="1022"/>
      <c r="FB17" s="1022"/>
      <c r="FC17" s="1022"/>
      <c r="FD17" s="1022"/>
      <c r="FE17" s="1022"/>
      <c r="FF17" s="1022"/>
      <c r="FG17" s="1022"/>
      <c r="FH17" s="1022"/>
      <c r="FI17" s="1022"/>
      <c r="FJ17" s="1022"/>
      <c r="FK17" s="1022"/>
      <c r="FL17" s="1022"/>
      <c r="FM17" s="1022"/>
      <c r="FN17" s="1022"/>
      <c r="FO17" s="1022"/>
      <c r="FP17" s="1022"/>
      <c r="FQ17" s="1022"/>
      <c r="FR17" s="1022"/>
      <c r="FS17" s="1022"/>
      <c r="FT17" s="1022"/>
      <c r="FU17" s="1022"/>
      <c r="FV17" s="1022"/>
      <c r="FW17" s="1022"/>
      <c r="FX17" s="1022"/>
      <c r="FY17" s="1022"/>
      <c r="FZ17" s="1022"/>
      <c r="GA17" s="1022"/>
      <c r="GB17" s="1022"/>
      <c r="GC17" s="1022"/>
      <c r="GD17" s="1022"/>
      <c r="GE17" s="1022"/>
      <c r="GF17" s="1022"/>
      <c r="GG17" s="1022"/>
      <c r="GH17" s="1022"/>
      <c r="GI17" s="1022"/>
      <c r="GJ17" s="1022"/>
      <c r="GK17" s="1022"/>
      <c r="GL17" s="1022"/>
      <c r="GM17" s="1022"/>
      <c r="GN17" s="1022"/>
      <c r="GO17" s="1022"/>
      <c r="GP17" s="1022"/>
      <c r="GQ17" s="1022"/>
      <c r="GR17" s="1022"/>
      <c r="GS17" s="1022"/>
      <c r="GT17" s="1022"/>
      <c r="GU17" s="1022"/>
      <c r="GV17" s="1022"/>
      <c r="GW17" s="1022"/>
      <c r="GX17" s="1022"/>
      <c r="GY17" s="1022"/>
      <c r="GZ17" s="1022"/>
      <c r="HA17" s="1022"/>
      <c r="HB17" s="1022"/>
      <c r="HC17" s="1022"/>
      <c r="HD17" s="1022"/>
      <c r="HE17" s="1022"/>
      <c r="HF17" s="1022"/>
      <c r="HG17" s="1022"/>
      <c r="HH17" s="1022"/>
      <c r="HI17" s="1022"/>
      <c r="HJ17" s="1022"/>
      <c r="HK17" s="1022"/>
      <c r="HL17" s="1022"/>
      <c r="HM17" s="1022"/>
      <c r="HN17" s="1022"/>
      <c r="HO17" s="1022"/>
      <c r="HP17" s="1022"/>
      <c r="HQ17" s="1022"/>
      <c r="HR17" s="1022"/>
      <c r="HS17" s="1022"/>
      <c r="HT17" s="1022"/>
      <c r="HU17" s="1022"/>
      <c r="HV17" s="1022"/>
      <c r="HW17" s="1022"/>
      <c r="HX17" s="1022"/>
      <c r="HY17" s="1022"/>
      <c r="HZ17" s="1022"/>
      <c r="IA17" s="1022"/>
      <c r="IB17" s="1022"/>
      <c r="IC17" s="1022"/>
      <c r="ID17" s="1022"/>
      <c r="IE17" s="1022"/>
    </row>
    <row r="18" spans="1:239" s="17" customFormat="1" ht="37.5" customHeight="1" x14ac:dyDescent="0.2">
      <c r="A18" s="2409" t="s">
        <v>129</v>
      </c>
      <c r="B18" s="2410"/>
      <c r="C18" s="1516">
        <f>C19+C20</f>
        <v>0</v>
      </c>
      <c r="D18" s="1516">
        <f>D19+D20</f>
        <v>0</v>
      </c>
      <c r="E18" s="1516">
        <f>IF(C18="",IF(D18="","",C18-D18),C18-D18)</f>
        <v>0</v>
      </c>
      <c r="F18" s="2415"/>
      <c r="G18" s="2415"/>
      <c r="H18" s="1516">
        <f>H19+H20</f>
        <v>339919</v>
      </c>
      <c r="I18" s="1516">
        <f>I19+I20</f>
        <v>177480.46</v>
      </c>
      <c r="J18" s="1516">
        <f>IF(H18="",IF(I18="","",H18-I18),H18-I18)</f>
        <v>162438.54</v>
      </c>
      <c r="K18" s="1087"/>
      <c r="L18" s="1032"/>
      <c r="M18" s="1022"/>
      <c r="N18" s="2409" t="s">
        <v>129</v>
      </c>
      <c r="O18" s="2430"/>
      <c r="P18" s="1090">
        <f>P19+P20</f>
        <v>0</v>
      </c>
      <c r="Q18" s="868">
        <f>Q19+Q20</f>
        <v>0</v>
      </c>
      <c r="R18" s="868">
        <f>IF(P18="",IF(Q18="","",P18-Q18),P18-Q18)</f>
        <v>0</v>
      </c>
      <c r="S18" s="2415"/>
      <c r="T18" s="2415"/>
      <c r="U18" s="868">
        <f>U19+U20</f>
        <v>317474</v>
      </c>
      <c r="V18" s="868">
        <f>V19+V20</f>
        <v>152846.30000000002</v>
      </c>
      <c r="W18" s="868">
        <f>IF(U18="",IF(V18="","",U18-V18),U18-V18)</f>
        <v>164627.69999999998</v>
      </c>
      <c r="X18" s="1087"/>
      <c r="Y18" s="1022"/>
      <c r="Z18" s="1022"/>
      <c r="AA18" s="1022"/>
      <c r="AB18" s="1022"/>
      <c r="AC18" s="1022"/>
      <c r="AD18" s="1022"/>
      <c r="AE18" s="1022"/>
      <c r="AF18" s="1022"/>
      <c r="AG18" s="1022"/>
      <c r="AH18" s="1022"/>
      <c r="AI18" s="1022"/>
      <c r="AJ18" s="1022"/>
      <c r="AK18" s="1022"/>
      <c r="AL18" s="1022"/>
      <c r="AM18" s="1022"/>
      <c r="AN18" s="1022"/>
      <c r="AO18" s="1022"/>
      <c r="AP18" s="1022"/>
      <c r="AQ18" s="1022"/>
      <c r="AR18" s="1022"/>
      <c r="AS18" s="1022"/>
      <c r="AT18" s="1022"/>
      <c r="AU18" s="1022"/>
      <c r="AV18" s="1022"/>
      <c r="AW18" s="1022"/>
      <c r="AX18" s="1022"/>
      <c r="AY18" s="1022"/>
      <c r="AZ18" s="1022"/>
      <c r="BA18" s="1022"/>
      <c r="BB18" s="1022"/>
      <c r="BC18" s="1022"/>
      <c r="BD18" s="1022"/>
      <c r="BE18" s="1022"/>
      <c r="BF18" s="1022"/>
      <c r="BG18" s="1022"/>
      <c r="BH18" s="1022"/>
      <c r="BI18" s="1022"/>
      <c r="BJ18" s="1022"/>
      <c r="BK18" s="1022"/>
      <c r="BL18" s="1022"/>
      <c r="BM18" s="1022"/>
      <c r="BN18" s="1022"/>
      <c r="BO18" s="1022"/>
      <c r="BP18" s="1022"/>
      <c r="BQ18" s="1022"/>
      <c r="BR18" s="1022"/>
      <c r="BS18" s="1022"/>
      <c r="BT18" s="1022"/>
      <c r="BU18" s="1022"/>
      <c r="BV18" s="1022"/>
      <c r="BW18" s="1022"/>
      <c r="BX18" s="1022"/>
      <c r="BY18" s="1022"/>
      <c r="BZ18" s="1022"/>
      <c r="CA18" s="1022"/>
      <c r="CB18" s="1022"/>
      <c r="CC18" s="1022"/>
      <c r="CD18" s="1022"/>
      <c r="CE18" s="1022"/>
      <c r="CF18" s="1022"/>
      <c r="CG18" s="1022"/>
      <c r="CH18" s="1022"/>
      <c r="CI18" s="1022"/>
      <c r="CJ18" s="1022"/>
      <c r="CK18" s="1022"/>
      <c r="CL18" s="1022"/>
      <c r="CM18" s="1022"/>
      <c r="CN18" s="1022"/>
      <c r="CO18" s="1022"/>
      <c r="CP18" s="1022"/>
      <c r="CQ18" s="1022"/>
      <c r="CR18" s="1022"/>
      <c r="CS18" s="1022"/>
      <c r="CT18" s="1022"/>
      <c r="CU18" s="1022"/>
      <c r="CV18" s="1022"/>
      <c r="CW18" s="1022"/>
      <c r="CX18" s="1022"/>
      <c r="CY18" s="1022"/>
      <c r="CZ18" s="1022"/>
      <c r="DA18" s="1022"/>
      <c r="DB18" s="1022"/>
      <c r="DC18" s="1022"/>
      <c r="DD18" s="1022"/>
      <c r="DE18" s="1022"/>
      <c r="DF18" s="1022"/>
      <c r="DG18" s="1022"/>
      <c r="DH18" s="1022"/>
      <c r="DI18" s="1022"/>
      <c r="DJ18" s="1022"/>
      <c r="DK18" s="1022"/>
      <c r="DL18" s="1022"/>
      <c r="DM18" s="1022"/>
      <c r="DN18" s="1022"/>
      <c r="DO18" s="1022"/>
      <c r="DP18" s="1022"/>
      <c r="DQ18" s="1022"/>
      <c r="DR18" s="1022"/>
      <c r="DS18" s="1022"/>
      <c r="DT18" s="1022"/>
      <c r="DU18" s="1022"/>
      <c r="DV18" s="1022"/>
      <c r="DW18" s="1022"/>
      <c r="DX18" s="1022"/>
      <c r="DY18" s="1022"/>
      <c r="DZ18" s="1022"/>
      <c r="EA18" s="1022"/>
      <c r="EB18" s="1022"/>
      <c r="EC18" s="1022"/>
      <c r="ED18" s="1022"/>
      <c r="EE18" s="1022"/>
      <c r="EF18" s="1022"/>
      <c r="EG18" s="1022"/>
      <c r="EH18" s="1022"/>
      <c r="EI18" s="1022"/>
      <c r="EJ18" s="1022"/>
      <c r="EK18" s="1022"/>
      <c r="EL18" s="1022"/>
      <c r="EM18" s="1022"/>
      <c r="EN18" s="1022"/>
      <c r="EO18" s="1022"/>
      <c r="EP18" s="1022"/>
      <c r="EQ18" s="1022"/>
      <c r="ER18" s="1022"/>
      <c r="ES18" s="1022"/>
      <c r="ET18" s="1022"/>
      <c r="EU18" s="1022"/>
      <c r="EV18" s="1022"/>
      <c r="EW18" s="1022"/>
      <c r="EX18" s="1022"/>
      <c r="EY18" s="1022"/>
      <c r="EZ18" s="1022"/>
      <c r="FA18" s="1022"/>
      <c r="FB18" s="1022"/>
      <c r="FC18" s="1022"/>
      <c r="FD18" s="1022"/>
      <c r="FE18" s="1022"/>
      <c r="FF18" s="1022"/>
      <c r="FG18" s="1022"/>
      <c r="FH18" s="1022"/>
      <c r="FI18" s="1022"/>
      <c r="FJ18" s="1022"/>
      <c r="FK18" s="1022"/>
      <c r="FL18" s="1022"/>
      <c r="FM18" s="1022"/>
      <c r="FN18" s="1022"/>
      <c r="FO18" s="1022"/>
      <c r="FP18" s="1022"/>
      <c r="FQ18" s="1022"/>
      <c r="FR18" s="1022"/>
      <c r="FS18" s="1022"/>
      <c r="FT18" s="1022"/>
      <c r="FU18" s="1022"/>
      <c r="FV18" s="1022"/>
      <c r="FW18" s="1022"/>
      <c r="FX18" s="1022"/>
      <c r="FY18" s="1022"/>
      <c r="FZ18" s="1022"/>
      <c r="GA18" s="1022"/>
      <c r="GB18" s="1022"/>
      <c r="GC18" s="1022"/>
      <c r="GD18" s="1022"/>
      <c r="GE18" s="1022"/>
      <c r="GF18" s="1022"/>
      <c r="GG18" s="1022"/>
      <c r="GH18" s="1022"/>
      <c r="GI18" s="1022"/>
      <c r="GJ18" s="1022"/>
      <c r="GK18" s="1022"/>
      <c r="GL18" s="1022"/>
      <c r="GM18" s="1022"/>
      <c r="GN18" s="1022"/>
      <c r="GO18" s="1022"/>
      <c r="GP18" s="1022"/>
      <c r="GQ18" s="1022"/>
      <c r="GR18" s="1022"/>
      <c r="GS18" s="1022"/>
      <c r="GT18" s="1022"/>
      <c r="GU18" s="1022"/>
      <c r="GV18" s="1022"/>
      <c r="GW18" s="1022"/>
      <c r="GX18" s="1022"/>
      <c r="GY18" s="1022"/>
      <c r="GZ18" s="1022"/>
      <c r="HA18" s="1022"/>
      <c r="HB18" s="1022"/>
      <c r="HC18" s="1022"/>
      <c r="HD18" s="1022"/>
      <c r="HE18" s="1022"/>
      <c r="HF18" s="1022"/>
      <c r="HG18" s="1022"/>
      <c r="HH18" s="1022"/>
      <c r="HI18" s="1022"/>
      <c r="HJ18" s="1022"/>
      <c r="HK18" s="1022"/>
      <c r="HL18" s="1022"/>
      <c r="HM18" s="1022"/>
      <c r="HN18" s="1022"/>
      <c r="HO18" s="1022"/>
      <c r="HP18" s="1022"/>
      <c r="HQ18" s="1022"/>
      <c r="HR18" s="1022"/>
      <c r="HS18" s="1022"/>
      <c r="HT18" s="1022"/>
      <c r="HU18" s="1022"/>
      <c r="HV18" s="1022"/>
      <c r="HW18" s="1022"/>
      <c r="HX18" s="1022"/>
      <c r="HY18" s="1022"/>
      <c r="HZ18" s="1022"/>
      <c r="IA18" s="1022"/>
      <c r="IB18" s="1022"/>
      <c r="IC18" s="1022"/>
      <c r="ID18" s="1022"/>
      <c r="IE18" s="1022"/>
    </row>
    <row r="19" spans="1:239" s="17" customFormat="1" ht="42" customHeight="1" x14ac:dyDescent="0.2">
      <c r="A19" s="2413" t="s">
        <v>389</v>
      </c>
      <c r="B19" s="2414"/>
      <c r="C19" s="1517">
        <f>P19</f>
        <v>0</v>
      </c>
      <c r="D19" s="1517">
        <f>Q19</f>
        <v>0</v>
      </c>
      <c r="E19" s="1522">
        <f>IF(C19="",IF(D19="",0,C19-D19),C19-D19)</f>
        <v>0</v>
      </c>
      <c r="F19" s="2416" t="s">
        <v>1064</v>
      </c>
      <c r="G19" s="2417"/>
      <c r="H19" s="1517">
        <f>89919+C19</f>
        <v>89919</v>
      </c>
      <c r="I19" s="1517">
        <v>30567</v>
      </c>
      <c r="J19" s="1522">
        <f>IF(H19="",IF(I19="",0,H19-I19),H19-I19)</f>
        <v>59352</v>
      </c>
      <c r="K19" s="1586" t="s">
        <v>1140</v>
      </c>
      <c r="L19" s="1032"/>
      <c r="M19" s="1022"/>
      <c r="N19" s="1913" t="s">
        <v>389</v>
      </c>
      <c r="O19" s="2387"/>
      <c r="P19" s="1091">
        <f>'PR_Total PR Cash Outflow_3A'!C18</f>
        <v>0</v>
      </c>
      <c r="Q19" s="1089">
        <f>'PR_Total PR Cash Outflow_3A'!D18</f>
        <v>0</v>
      </c>
      <c r="R19" s="478">
        <f>IF(P19="",IF(Q19="",0,P19-Q19),P19-Q19)</f>
        <v>0</v>
      </c>
      <c r="S19" s="2239"/>
      <c r="T19" s="2429"/>
      <c r="U19" s="1089">
        <f>'PR_Total PR Cash Outflow_3A'!H18</f>
        <v>66179</v>
      </c>
      <c r="V19" s="1089">
        <f>'PR_Total PR Cash Outflow_3A'!I18</f>
        <v>32352.7</v>
      </c>
      <c r="W19" s="478">
        <f>IF(U19="",IF(V19="",0,U19-V19),U19-V19)</f>
        <v>33826.300000000003</v>
      </c>
      <c r="X19" s="1088"/>
      <c r="Y19" s="1022"/>
      <c r="Z19" s="1022"/>
      <c r="AA19" s="1022"/>
      <c r="AB19" s="1022"/>
      <c r="AC19" s="1022"/>
      <c r="AD19" s="1022"/>
      <c r="AE19" s="1022"/>
      <c r="AF19" s="1022"/>
      <c r="AG19" s="1022"/>
      <c r="AH19" s="1022"/>
      <c r="AI19" s="1022"/>
      <c r="AJ19" s="1022"/>
      <c r="AK19" s="1022"/>
      <c r="AL19" s="1022"/>
      <c r="AM19" s="1022"/>
      <c r="AN19" s="1022"/>
      <c r="AO19" s="1022"/>
      <c r="AP19" s="1022"/>
      <c r="AQ19" s="1022"/>
      <c r="AR19" s="1022"/>
      <c r="AS19" s="1022"/>
      <c r="AT19" s="1022"/>
      <c r="AU19" s="1022"/>
      <c r="AV19" s="1022"/>
      <c r="AW19" s="1022"/>
      <c r="AX19" s="1022"/>
      <c r="AY19" s="1022"/>
      <c r="AZ19" s="1022"/>
      <c r="BA19" s="1022"/>
      <c r="BB19" s="1022"/>
      <c r="BC19" s="1022"/>
      <c r="BD19" s="1022"/>
      <c r="BE19" s="1022"/>
      <c r="BF19" s="1022"/>
      <c r="BG19" s="1022"/>
      <c r="BH19" s="1022"/>
      <c r="BI19" s="1022"/>
      <c r="BJ19" s="1022"/>
      <c r="BK19" s="1022"/>
      <c r="BL19" s="1022"/>
      <c r="BM19" s="1022"/>
      <c r="BN19" s="1022"/>
      <c r="BO19" s="1022"/>
      <c r="BP19" s="1022"/>
      <c r="BQ19" s="1022"/>
      <c r="BR19" s="1022"/>
      <c r="BS19" s="1022"/>
      <c r="BT19" s="1022"/>
      <c r="BU19" s="1022"/>
      <c r="BV19" s="1022"/>
      <c r="BW19" s="1022"/>
      <c r="BX19" s="1022"/>
      <c r="BY19" s="1022"/>
      <c r="BZ19" s="1022"/>
      <c r="CA19" s="1022"/>
      <c r="CB19" s="1022"/>
      <c r="CC19" s="1022"/>
      <c r="CD19" s="1022"/>
      <c r="CE19" s="1022"/>
      <c r="CF19" s="1022"/>
      <c r="CG19" s="1022"/>
      <c r="CH19" s="1022"/>
      <c r="CI19" s="1022"/>
      <c r="CJ19" s="1022"/>
      <c r="CK19" s="1022"/>
      <c r="CL19" s="1022"/>
      <c r="CM19" s="1022"/>
      <c r="CN19" s="1022"/>
      <c r="CO19" s="1022"/>
      <c r="CP19" s="1022"/>
      <c r="CQ19" s="1022"/>
      <c r="CR19" s="1022"/>
      <c r="CS19" s="1022"/>
      <c r="CT19" s="1022"/>
      <c r="CU19" s="1022"/>
      <c r="CV19" s="1022"/>
      <c r="CW19" s="1022"/>
      <c r="CX19" s="1022"/>
      <c r="CY19" s="1022"/>
      <c r="CZ19" s="1022"/>
      <c r="DA19" s="1022"/>
      <c r="DB19" s="1022"/>
      <c r="DC19" s="1022"/>
      <c r="DD19" s="1022"/>
      <c r="DE19" s="1022"/>
      <c r="DF19" s="1022"/>
      <c r="DG19" s="1022"/>
      <c r="DH19" s="1022"/>
      <c r="DI19" s="1022"/>
      <c r="DJ19" s="1022"/>
      <c r="DK19" s="1022"/>
      <c r="DL19" s="1022"/>
      <c r="DM19" s="1022"/>
      <c r="DN19" s="1022"/>
      <c r="DO19" s="1022"/>
      <c r="DP19" s="1022"/>
      <c r="DQ19" s="1022"/>
      <c r="DR19" s="1022"/>
      <c r="DS19" s="1022"/>
      <c r="DT19" s="1022"/>
      <c r="DU19" s="1022"/>
      <c r="DV19" s="1022"/>
      <c r="DW19" s="1022"/>
      <c r="DX19" s="1022"/>
      <c r="DY19" s="1022"/>
      <c r="DZ19" s="1022"/>
      <c r="EA19" s="1022"/>
      <c r="EB19" s="1022"/>
      <c r="EC19" s="1022"/>
      <c r="ED19" s="1022"/>
      <c r="EE19" s="1022"/>
      <c r="EF19" s="1022"/>
      <c r="EG19" s="1022"/>
      <c r="EH19" s="1022"/>
      <c r="EI19" s="1022"/>
      <c r="EJ19" s="1022"/>
      <c r="EK19" s="1022"/>
      <c r="EL19" s="1022"/>
      <c r="EM19" s="1022"/>
      <c r="EN19" s="1022"/>
      <c r="EO19" s="1022"/>
      <c r="EP19" s="1022"/>
      <c r="EQ19" s="1022"/>
      <c r="ER19" s="1022"/>
      <c r="ES19" s="1022"/>
      <c r="ET19" s="1022"/>
      <c r="EU19" s="1022"/>
      <c r="EV19" s="1022"/>
      <c r="EW19" s="1022"/>
      <c r="EX19" s="1022"/>
      <c r="EY19" s="1022"/>
      <c r="EZ19" s="1022"/>
      <c r="FA19" s="1022"/>
      <c r="FB19" s="1022"/>
      <c r="FC19" s="1022"/>
      <c r="FD19" s="1022"/>
      <c r="FE19" s="1022"/>
      <c r="FF19" s="1022"/>
      <c r="FG19" s="1022"/>
      <c r="FH19" s="1022"/>
      <c r="FI19" s="1022"/>
      <c r="FJ19" s="1022"/>
      <c r="FK19" s="1022"/>
      <c r="FL19" s="1022"/>
      <c r="FM19" s="1022"/>
      <c r="FN19" s="1022"/>
      <c r="FO19" s="1022"/>
      <c r="FP19" s="1022"/>
      <c r="FQ19" s="1022"/>
      <c r="FR19" s="1022"/>
      <c r="FS19" s="1022"/>
      <c r="FT19" s="1022"/>
      <c r="FU19" s="1022"/>
      <c r="FV19" s="1022"/>
      <c r="FW19" s="1022"/>
      <c r="FX19" s="1022"/>
      <c r="FY19" s="1022"/>
      <c r="FZ19" s="1022"/>
      <c r="GA19" s="1022"/>
      <c r="GB19" s="1022"/>
      <c r="GC19" s="1022"/>
      <c r="GD19" s="1022"/>
      <c r="GE19" s="1022"/>
      <c r="GF19" s="1022"/>
      <c r="GG19" s="1022"/>
      <c r="GH19" s="1022"/>
      <c r="GI19" s="1022"/>
      <c r="GJ19" s="1022"/>
      <c r="GK19" s="1022"/>
      <c r="GL19" s="1022"/>
      <c r="GM19" s="1022"/>
      <c r="GN19" s="1022"/>
      <c r="GO19" s="1022"/>
      <c r="GP19" s="1022"/>
      <c r="GQ19" s="1022"/>
      <c r="GR19" s="1022"/>
      <c r="GS19" s="1022"/>
      <c r="GT19" s="1022"/>
      <c r="GU19" s="1022"/>
      <c r="GV19" s="1022"/>
      <c r="GW19" s="1022"/>
      <c r="GX19" s="1022"/>
      <c r="GY19" s="1022"/>
      <c r="GZ19" s="1022"/>
      <c r="HA19" s="1022"/>
      <c r="HB19" s="1022"/>
      <c r="HC19" s="1022"/>
      <c r="HD19" s="1022"/>
      <c r="HE19" s="1022"/>
      <c r="HF19" s="1022"/>
      <c r="HG19" s="1022"/>
      <c r="HH19" s="1022"/>
      <c r="HI19" s="1022"/>
      <c r="HJ19" s="1022"/>
      <c r="HK19" s="1022"/>
      <c r="HL19" s="1022"/>
      <c r="HM19" s="1022"/>
      <c r="HN19" s="1022"/>
      <c r="HO19" s="1022"/>
      <c r="HP19" s="1022"/>
      <c r="HQ19" s="1022"/>
      <c r="HR19" s="1022"/>
      <c r="HS19" s="1022"/>
      <c r="HT19" s="1022"/>
      <c r="HU19" s="1022"/>
      <c r="HV19" s="1022"/>
      <c r="HW19" s="1022"/>
      <c r="HX19" s="1022"/>
      <c r="HY19" s="1022"/>
      <c r="HZ19" s="1022"/>
      <c r="IA19" s="1022"/>
      <c r="IB19" s="1022"/>
      <c r="IC19" s="1022"/>
      <c r="ID19" s="1022"/>
      <c r="IE19" s="1022"/>
    </row>
    <row r="20" spans="1:239" s="17" customFormat="1" ht="57.75" customHeight="1" thickBot="1" x14ac:dyDescent="0.25">
      <c r="A20" s="2411" t="s">
        <v>390</v>
      </c>
      <c r="B20" s="2412"/>
      <c r="C20" s="1519">
        <f>P20</f>
        <v>0</v>
      </c>
      <c r="D20" s="1519">
        <f>Q20</f>
        <v>0</v>
      </c>
      <c r="E20" s="1520">
        <f>IF(C20="",IF(D20="",0,C20-D20),C20-D20)</f>
        <v>0</v>
      </c>
      <c r="F20" s="2418" t="s">
        <v>1065</v>
      </c>
      <c r="G20" s="2419"/>
      <c r="H20" s="1519">
        <f>250000+C20</f>
        <v>250000</v>
      </c>
      <c r="I20" s="1519">
        <v>146913.46</v>
      </c>
      <c r="J20" s="1520">
        <f>IF(H20="",IF(I20="",0,H20-I20),H20-I20)</f>
        <v>103086.54000000001</v>
      </c>
      <c r="K20" s="1587" t="s">
        <v>1141</v>
      </c>
      <c r="L20" s="1032"/>
      <c r="M20" s="1022"/>
      <c r="N20" s="2411" t="s">
        <v>390</v>
      </c>
      <c r="O20" s="2435"/>
      <c r="P20" s="1092">
        <f>'PR_Total PR Cash Outflow_3A'!C19</f>
        <v>0</v>
      </c>
      <c r="Q20" s="749">
        <f>'PR_Total PR Cash Outflow_3A'!D19</f>
        <v>0</v>
      </c>
      <c r="R20" s="750">
        <f>IF(P20="",IF(Q20="",0,P20-Q20),P20-Q20)</f>
        <v>0</v>
      </c>
      <c r="S20" s="2427"/>
      <c r="T20" s="2428"/>
      <c r="U20" s="749">
        <f>'PR_Total PR Cash Outflow_3A'!H19</f>
        <v>251295</v>
      </c>
      <c r="V20" s="749">
        <f>'PR_Total PR Cash Outflow_3A'!I19</f>
        <v>120493.6</v>
      </c>
      <c r="W20" s="750">
        <f>IF(U20="",IF(V20="",0,U20-V20),U20-V20)</f>
        <v>130801.4</v>
      </c>
      <c r="X20" s="1084"/>
      <c r="Y20" s="1022"/>
      <c r="Z20" s="1022"/>
      <c r="AA20" s="1022"/>
      <c r="AB20" s="1022"/>
      <c r="AC20" s="1022"/>
      <c r="AD20" s="1022"/>
      <c r="AE20" s="1022"/>
      <c r="AF20" s="1022"/>
      <c r="AG20" s="1022"/>
      <c r="AH20" s="1022"/>
      <c r="AI20" s="1022"/>
      <c r="AJ20" s="1022"/>
      <c r="AK20" s="1022"/>
      <c r="AL20" s="1022"/>
      <c r="AM20" s="1022"/>
      <c r="AN20" s="1022"/>
      <c r="AO20" s="1022"/>
      <c r="AP20" s="1022"/>
      <c r="AQ20" s="1022"/>
      <c r="AR20" s="1022"/>
      <c r="AS20" s="1022"/>
      <c r="AT20" s="1022"/>
      <c r="AU20" s="1022"/>
      <c r="AV20" s="1022"/>
      <c r="AW20" s="1022"/>
      <c r="AX20" s="1022"/>
      <c r="AY20" s="1022"/>
      <c r="AZ20" s="1022"/>
      <c r="BA20" s="1022"/>
      <c r="BB20" s="1022"/>
      <c r="BC20" s="1022"/>
      <c r="BD20" s="1022"/>
      <c r="BE20" s="1022"/>
      <c r="BF20" s="1022"/>
      <c r="BG20" s="1022"/>
      <c r="BH20" s="1022"/>
      <c r="BI20" s="1022"/>
      <c r="BJ20" s="1022"/>
      <c r="BK20" s="1022"/>
      <c r="BL20" s="1022"/>
      <c r="BM20" s="1022"/>
      <c r="BN20" s="1022"/>
      <c r="BO20" s="1022"/>
      <c r="BP20" s="1022"/>
      <c r="BQ20" s="1022"/>
      <c r="BR20" s="1022"/>
      <c r="BS20" s="1022"/>
      <c r="BT20" s="1022"/>
      <c r="BU20" s="1022"/>
      <c r="BV20" s="1022"/>
      <c r="BW20" s="1022"/>
      <c r="BX20" s="1022"/>
      <c r="BY20" s="1022"/>
      <c r="BZ20" s="1022"/>
      <c r="CA20" s="1022"/>
      <c r="CB20" s="1022"/>
      <c r="CC20" s="1022"/>
      <c r="CD20" s="1022"/>
      <c r="CE20" s="1022"/>
      <c r="CF20" s="1022"/>
      <c r="CG20" s="1022"/>
      <c r="CH20" s="1022"/>
      <c r="CI20" s="1022"/>
      <c r="CJ20" s="1022"/>
      <c r="CK20" s="1022"/>
      <c r="CL20" s="1022"/>
      <c r="CM20" s="1022"/>
      <c r="CN20" s="1022"/>
      <c r="CO20" s="1022"/>
      <c r="CP20" s="1022"/>
      <c r="CQ20" s="1022"/>
      <c r="CR20" s="1022"/>
      <c r="CS20" s="1022"/>
      <c r="CT20" s="1022"/>
      <c r="CU20" s="1022"/>
      <c r="CV20" s="1022"/>
      <c r="CW20" s="1022"/>
      <c r="CX20" s="1022"/>
      <c r="CY20" s="1022"/>
      <c r="CZ20" s="1022"/>
      <c r="DA20" s="1022"/>
      <c r="DB20" s="1022"/>
      <c r="DC20" s="1022"/>
      <c r="DD20" s="1022"/>
      <c r="DE20" s="1022"/>
      <c r="DF20" s="1022"/>
      <c r="DG20" s="1022"/>
      <c r="DH20" s="1022"/>
      <c r="DI20" s="1022"/>
      <c r="DJ20" s="1022"/>
      <c r="DK20" s="1022"/>
      <c r="DL20" s="1022"/>
      <c r="DM20" s="1022"/>
      <c r="DN20" s="1022"/>
      <c r="DO20" s="1022"/>
      <c r="DP20" s="1022"/>
      <c r="DQ20" s="1022"/>
      <c r="DR20" s="1022"/>
      <c r="DS20" s="1022"/>
      <c r="DT20" s="1022"/>
      <c r="DU20" s="1022"/>
      <c r="DV20" s="1022"/>
      <c r="DW20" s="1022"/>
      <c r="DX20" s="1022"/>
      <c r="DY20" s="1022"/>
      <c r="DZ20" s="1022"/>
      <c r="EA20" s="1022"/>
      <c r="EB20" s="1022"/>
      <c r="EC20" s="1022"/>
      <c r="ED20" s="1022"/>
      <c r="EE20" s="1022"/>
      <c r="EF20" s="1022"/>
      <c r="EG20" s="1022"/>
      <c r="EH20" s="1022"/>
      <c r="EI20" s="1022"/>
      <c r="EJ20" s="1022"/>
      <c r="EK20" s="1022"/>
      <c r="EL20" s="1022"/>
      <c r="EM20" s="1022"/>
      <c r="EN20" s="1022"/>
      <c r="EO20" s="1022"/>
      <c r="EP20" s="1022"/>
      <c r="EQ20" s="1022"/>
      <c r="ER20" s="1022"/>
      <c r="ES20" s="1022"/>
      <c r="ET20" s="1022"/>
      <c r="EU20" s="1022"/>
      <c r="EV20" s="1022"/>
      <c r="EW20" s="1022"/>
      <c r="EX20" s="1022"/>
      <c r="EY20" s="1022"/>
      <c r="EZ20" s="1022"/>
      <c r="FA20" s="1022"/>
      <c r="FB20" s="1022"/>
      <c r="FC20" s="1022"/>
      <c r="FD20" s="1022"/>
      <c r="FE20" s="1022"/>
      <c r="FF20" s="1022"/>
      <c r="FG20" s="1022"/>
      <c r="FH20" s="1022"/>
      <c r="FI20" s="1022"/>
      <c r="FJ20" s="1022"/>
      <c r="FK20" s="1022"/>
      <c r="FL20" s="1022"/>
      <c r="FM20" s="1022"/>
      <c r="FN20" s="1022"/>
      <c r="FO20" s="1022"/>
      <c r="FP20" s="1022"/>
      <c r="FQ20" s="1022"/>
      <c r="FR20" s="1022"/>
      <c r="FS20" s="1022"/>
      <c r="FT20" s="1022"/>
      <c r="FU20" s="1022"/>
      <c r="FV20" s="1022"/>
      <c r="FW20" s="1022"/>
      <c r="FX20" s="1022"/>
      <c r="FY20" s="1022"/>
      <c r="FZ20" s="1022"/>
      <c r="GA20" s="1022"/>
      <c r="GB20" s="1022"/>
      <c r="GC20" s="1022"/>
      <c r="GD20" s="1022"/>
      <c r="GE20" s="1022"/>
      <c r="GF20" s="1022"/>
      <c r="GG20" s="1022"/>
      <c r="GH20" s="1022"/>
      <c r="GI20" s="1022"/>
      <c r="GJ20" s="1022"/>
      <c r="GK20" s="1022"/>
      <c r="GL20" s="1022"/>
      <c r="GM20" s="1022"/>
      <c r="GN20" s="1022"/>
      <c r="GO20" s="1022"/>
      <c r="GP20" s="1022"/>
      <c r="GQ20" s="1022"/>
      <c r="GR20" s="1022"/>
      <c r="GS20" s="1022"/>
      <c r="GT20" s="1022"/>
      <c r="GU20" s="1022"/>
      <c r="GV20" s="1022"/>
      <c r="GW20" s="1022"/>
      <c r="GX20" s="1022"/>
      <c r="GY20" s="1022"/>
      <c r="GZ20" s="1022"/>
      <c r="HA20" s="1022"/>
      <c r="HB20" s="1022"/>
      <c r="HC20" s="1022"/>
      <c r="HD20" s="1022"/>
      <c r="HE20" s="1022"/>
      <c r="HF20" s="1022"/>
      <c r="HG20" s="1022"/>
      <c r="HH20" s="1022"/>
      <c r="HI20" s="1022"/>
      <c r="HJ20" s="1022"/>
      <c r="HK20" s="1022"/>
      <c r="HL20" s="1022"/>
      <c r="HM20" s="1022"/>
      <c r="HN20" s="1022"/>
      <c r="HO20" s="1022"/>
      <c r="HP20" s="1022"/>
      <c r="HQ20" s="1022"/>
      <c r="HR20" s="1022"/>
      <c r="HS20" s="1022"/>
      <c r="HT20" s="1022"/>
      <c r="HU20" s="1022"/>
      <c r="HV20" s="1022"/>
      <c r="HW20" s="1022"/>
      <c r="HX20" s="1022"/>
      <c r="HY20" s="1022"/>
      <c r="HZ20" s="1022"/>
      <c r="IA20" s="1022"/>
      <c r="IB20" s="1022"/>
      <c r="IC20" s="1022"/>
      <c r="ID20" s="1022"/>
      <c r="IE20" s="1022"/>
    </row>
    <row r="21" spans="1:239" s="17" customFormat="1" ht="9.75" customHeight="1" x14ac:dyDescent="0.2">
      <c r="A21" s="224"/>
      <c r="B21" s="225"/>
      <c r="C21" s="223"/>
      <c r="D21" s="222"/>
      <c r="E21" s="222"/>
      <c r="F21" s="222"/>
      <c r="G21" s="222"/>
      <c r="H21" s="222"/>
      <c r="I21" s="222"/>
      <c r="J21" s="222"/>
      <c r="K21" s="1027"/>
      <c r="L21" s="1032"/>
      <c r="M21" s="1022"/>
      <c r="N21" s="1022"/>
      <c r="O21" s="1022"/>
      <c r="P21" s="1022"/>
      <c r="Q21" s="1022"/>
      <c r="R21" s="1022"/>
      <c r="S21" s="1022"/>
      <c r="T21" s="1022"/>
      <c r="U21" s="1022"/>
      <c r="V21" s="1022"/>
      <c r="W21" s="1022"/>
      <c r="X21" s="1022"/>
      <c r="Y21" s="1022"/>
      <c r="Z21" s="1022"/>
      <c r="AA21" s="1022"/>
      <c r="AB21" s="1022"/>
      <c r="AC21" s="1022"/>
      <c r="AD21" s="1022"/>
      <c r="AE21" s="1022"/>
      <c r="AF21" s="1022"/>
      <c r="AG21" s="1022"/>
      <c r="AH21" s="1022"/>
      <c r="AI21" s="1022"/>
      <c r="AJ21" s="1022"/>
      <c r="AK21" s="1022"/>
      <c r="AL21" s="1022"/>
      <c r="AM21" s="1022"/>
      <c r="AN21" s="1022"/>
      <c r="AO21" s="1022"/>
      <c r="AP21" s="1022"/>
      <c r="AQ21" s="1022"/>
      <c r="AR21" s="1022"/>
      <c r="AS21" s="1022"/>
      <c r="AT21" s="1022"/>
      <c r="AU21" s="1022"/>
      <c r="AV21" s="1022"/>
      <c r="AW21" s="1022"/>
      <c r="AX21" s="1022"/>
      <c r="AY21" s="1022"/>
      <c r="AZ21" s="1022"/>
      <c r="BA21" s="1022"/>
      <c r="BB21" s="1022"/>
      <c r="BC21" s="1022"/>
      <c r="BD21" s="1022"/>
      <c r="BE21" s="1022"/>
      <c r="BF21" s="1022"/>
      <c r="BG21" s="1022"/>
      <c r="BH21" s="1022"/>
      <c r="BI21" s="1022"/>
      <c r="BJ21" s="1022"/>
      <c r="BK21" s="1022"/>
      <c r="BL21" s="1022"/>
      <c r="BM21" s="1022"/>
      <c r="BN21" s="1022"/>
      <c r="BO21" s="1022"/>
      <c r="BP21" s="1022"/>
      <c r="BQ21" s="1022"/>
      <c r="BR21" s="1022"/>
      <c r="BS21" s="1022"/>
      <c r="BT21" s="1022"/>
      <c r="BU21" s="1022"/>
      <c r="BV21" s="1022"/>
      <c r="BW21" s="1022"/>
      <c r="BX21" s="1022"/>
      <c r="BY21" s="1022"/>
      <c r="BZ21" s="1022"/>
      <c r="CA21" s="1022"/>
      <c r="CB21" s="1022"/>
      <c r="CC21" s="1022"/>
      <c r="CD21" s="1022"/>
      <c r="CE21" s="1022"/>
      <c r="CF21" s="1022"/>
      <c r="CG21" s="1022"/>
      <c r="CH21" s="1022"/>
      <c r="CI21" s="1022"/>
      <c r="CJ21" s="1022"/>
      <c r="CK21" s="1022"/>
      <c r="CL21" s="1022"/>
      <c r="CM21" s="1022"/>
      <c r="CN21" s="1022"/>
      <c r="CO21" s="1022"/>
      <c r="CP21" s="1022"/>
      <c r="CQ21" s="1022"/>
      <c r="CR21" s="1022"/>
      <c r="CS21" s="1022"/>
      <c r="CT21" s="1022"/>
      <c r="CU21" s="1022"/>
      <c r="CV21" s="1022"/>
      <c r="CW21" s="1022"/>
      <c r="CX21" s="1022"/>
      <c r="CY21" s="1022"/>
      <c r="CZ21" s="1022"/>
      <c r="DA21" s="1022"/>
      <c r="DB21" s="1022"/>
      <c r="DC21" s="1022"/>
      <c r="DD21" s="1022"/>
      <c r="DE21" s="1022"/>
      <c r="DF21" s="1022"/>
      <c r="DG21" s="1022"/>
      <c r="DH21" s="1022"/>
      <c r="DI21" s="1022"/>
      <c r="DJ21" s="1022"/>
      <c r="DK21" s="1022"/>
      <c r="DL21" s="1022"/>
      <c r="DM21" s="1022"/>
      <c r="DN21" s="1022"/>
      <c r="DO21" s="1022"/>
      <c r="DP21" s="1022"/>
      <c r="DQ21" s="1022"/>
      <c r="DR21" s="1022"/>
      <c r="DS21" s="1022"/>
      <c r="DT21" s="1022"/>
      <c r="DU21" s="1022"/>
      <c r="DV21" s="1022"/>
      <c r="DW21" s="1022"/>
      <c r="DX21" s="1022"/>
      <c r="DY21" s="1022"/>
      <c r="DZ21" s="1022"/>
      <c r="EA21" s="1022"/>
      <c r="EB21" s="1022"/>
      <c r="EC21" s="1022"/>
      <c r="ED21" s="1022"/>
      <c r="EE21" s="1022"/>
      <c r="EF21" s="1022"/>
      <c r="EG21" s="1022"/>
      <c r="EH21" s="1022"/>
      <c r="EI21" s="1022"/>
      <c r="EJ21" s="1022"/>
      <c r="EK21" s="1022"/>
      <c r="EL21" s="1022"/>
      <c r="EM21" s="1022"/>
      <c r="EN21" s="1022"/>
      <c r="EO21" s="1022"/>
      <c r="EP21" s="1022"/>
      <c r="EQ21" s="1022"/>
      <c r="ER21" s="1022"/>
      <c r="ES21" s="1022"/>
      <c r="ET21" s="1022"/>
      <c r="EU21" s="1022"/>
      <c r="EV21" s="1022"/>
      <c r="EW21" s="1022"/>
      <c r="EX21" s="1022"/>
      <c r="EY21" s="1022"/>
      <c r="EZ21" s="1022"/>
      <c r="FA21" s="1022"/>
      <c r="FB21" s="1022"/>
      <c r="FC21" s="1022"/>
      <c r="FD21" s="1022"/>
      <c r="FE21" s="1022"/>
      <c r="FF21" s="1022"/>
      <c r="FG21" s="1022"/>
      <c r="FH21" s="1022"/>
      <c r="FI21" s="1022"/>
      <c r="FJ21" s="1022"/>
      <c r="FK21" s="1022"/>
      <c r="FL21" s="1022"/>
      <c r="FM21" s="1022"/>
      <c r="FN21" s="1022"/>
      <c r="FO21" s="1022"/>
      <c r="FP21" s="1022"/>
      <c r="FQ21" s="1022"/>
      <c r="FR21" s="1022"/>
      <c r="FS21" s="1022"/>
      <c r="FT21" s="1022"/>
      <c r="FU21" s="1022"/>
      <c r="FV21" s="1022"/>
      <c r="FW21" s="1022"/>
      <c r="FX21" s="1022"/>
      <c r="FY21" s="1022"/>
      <c r="FZ21" s="1022"/>
      <c r="GA21" s="1022"/>
      <c r="GB21" s="1022"/>
      <c r="GC21" s="1022"/>
      <c r="GD21" s="1022"/>
      <c r="GE21" s="1022"/>
      <c r="GF21" s="1022"/>
      <c r="GG21" s="1022"/>
      <c r="GH21" s="1022"/>
      <c r="GI21" s="1022"/>
      <c r="GJ21" s="1022"/>
      <c r="GK21" s="1022"/>
      <c r="GL21" s="1022"/>
      <c r="GM21" s="1022"/>
      <c r="GN21" s="1022"/>
      <c r="GO21" s="1022"/>
      <c r="GP21" s="1022"/>
      <c r="GQ21" s="1022"/>
      <c r="GR21" s="1022"/>
      <c r="GS21" s="1022"/>
      <c r="GT21" s="1022"/>
      <c r="GU21" s="1022"/>
      <c r="GV21" s="1022"/>
      <c r="GW21" s="1022"/>
      <c r="GX21" s="1022"/>
      <c r="GY21" s="1022"/>
      <c r="GZ21" s="1022"/>
      <c r="HA21" s="1022"/>
      <c r="HB21" s="1022"/>
      <c r="HC21" s="1022"/>
      <c r="HD21" s="1022"/>
      <c r="HE21" s="1022"/>
      <c r="HF21" s="1022"/>
      <c r="HG21" s="1022"/>
      <c r="HH21" s="1022"/>
      <c r="HI21" s="1022"/>
      <c r="HJ21" s="1022"/>
      <c r="HK21" s="1022"/>
      <c r="HL21" s="1022"/>
      <c r="HM21" s="1022"/>
      <c r="HN21" s="1022"/>
      <c r="HO21" s="1022"/>
      <c r="HP21" s="1022"/>
      <c r="HQ21" s="1022"/>
      <c r="HR21" s="1022"/>
      <c r="HS21" s="1022"/>
      <c r="HT21" s="1022"/>
      <c r="HU21" s="1022"/>
      <c r="HV21" s="1022"/>
      <c r="HW21" s="1022"/>
      <c r="HX21" s="1022"/>
      <c r="HY21" s="1022"/>
      <c r="HZ21" s="1022"/>
      <c r="IA21" s="1022"/>
      <c r="IB21" s="1022"/>
      <c r="IC21" s="1022"/>
      <c r="ID21" s="1022"/>
      <c r="IE21" s="1022"/>
    </row>
    <row r="22" spans="1:239" s="74" customFormat="1" ht="20.25" customHeight="1" x14ac:dyDescent="0.2">
      <c r="A22" s="339" t="s">
        <v>409</v>
      </c>
      <c r="B22" s="476"/>
      <c r="C22" s="476"/>
      <c r="D22" s="477"/>
      <c r="E22" s="363"/>
      <c r="F22" s="363"/>
      <c r="G22" s="363"/>
      <c r="H22" s="363"/>
      <c r="I22" s="363"/>
      <c r="J22" s="363"/>
      <c r="K22" s="1028"/>
      <c r="L22" s="361"/>
      <c r="M22" s="88"/>
      <c r="N22" s="88"/>
      <c r="O22" s="88"/>
      <c r="P22" s="88"/>
      <c r="Q22" s="88"/>
      <c r="R22" s="88"/>
      <c r="S22" s="88"/>
      <c r="T22" s="88"/>
      <c r="U22" s="88"/>
      <c r="V22" s="88"/>
      <c r="W22" s="88"/>
      <c r="X22" s="88"/>
      <c r="Y22" s="88"/>
      <c r="Z22" s="88"/>
      <c r="AA22" s="88"/>
      <c r="AB22" s="88"/>
      <c r="AC22" s="88"/>
      <c r="AD22" s="1022"/>
      <c r="AE22" s="1022"/>
      <c r="AF22" s="1022"/>
      <c r="AG22" s="1022"/>
      <c r="AH22" s="1022"/>
      <c r="AI22" s="1022"/>
      <c r="AJ22" s="1022"/>
      <c r="AK22" s="1022"/>
      <c r="AL22" s="1022"/>
      <c r="AM22" s="1022"/>
      <c r="AN22" s="1022"/>
      <c r="AO22" s="1022"/>
      <c r="AP22" s="1022"/>
      <c r="AQ22" s="1022"/>
      <c r="AR22" s="1022"/>
      <c r="AS22" s="1022"/>
      <c r="AT22" s="1022"/>
      <c r="AU22" s="1022"/>
      <c r="AV22" s="1022"/>
      <c r="AW22" s="1022"/>
      <c r="AX22" s="1022"/>
      <c r="AY22" s="1022"/>
      <c r="AZ22" s="1022"/>
      <c r="BA22" s="1022"/>
      <c r="BB22" s="1022"/>
      <c r="BC22" s="1022"/>
      <c r="BD22" s="1022"/>
      <c r="BE22" s="1022"/>
      <c r="BF22" s="1022"/>
      <c r="BG22" s="1022"/>
      <c r="BH22" s="1022"/>
      <c r="BI22" s="1022"/>
      <c r="BJ22" s="1022"/>
      <c r="BK22" s="1022"/>
      <c r="BL22" s="1022"/>
      <c r="BM22" s="1022"/>
      <c r="BN22" s="1022"/>
      <c r="BO22" s="1022"/>
      <c r="BP22" s="1022"/>
      <c r="BQ22" s="1022"/>
      <c r="BR22" s="1022"/>
      <c r="BS22" s="1022"/>
      <c r="BT22" s="1022"/>
      <c r="BU22" s="1022"/>
      <c r="BV22" s="1022"/>
      <c r="BW22" s="1022"/>
      <c r="BX22" s="1022"/>
      <c r="BY22" s="1022"/>
      <c r="BZ22" s="1022"/>
      <c r="CA22" s="1022"/>
      <c r="CB22" s="1022"/>
      <c r="CC22" s="1022"/>
      <c r="CD22" s="1022"/>
      <c r="CE22" s="1022"/>
      <c r="CF22" s="1022"/>
      <c r="CG22" s="1022"/>
      <c r="CH22" s="1022"/>
      <c r="CI22" s="1022"/>
      <c r="CJ22" s="1022"/>
      <c r="CK22" s="1022"/>
      <c r="CL22" s="1022"/>
      <c r="CM22" s="1022"/>
      <c r="CN22" s="1022"/>
      <c r="CO22" s="1022"/>
      <c r="CP22" s="1022"/>
      <c r="CQ22" s="1022"/>
      <c r="CR22" s="1022"/>
      <c r="CS22" s="1022"/>
      <c r="CT22" s="1022"/>
      <c r="CU22" s="1022"/>
      <c r="CV22" s="1022"/>
      <c r="CW22" s="1022"/>
      <c r="CX22" s="1022"/>
      <c r="CY22" s="1022"/>
      <c r="CZ22" s="1022"/>
      <c r="DA22" s="1022"/>
      <c r="DB22" s="1022"/>
      <c r="DC22" s="1022"/>
      <c r="DD22" s="1022"/>
      <c r="DE22" s="1022"/>
      <c r="DF22" s="1022"/>
      <c r="DG22" s="1022"/>
      <c r="DH22" s="1022"/>
      <c r="DI22" s="1022"/>
      <c r="DJ22" s="1022"/>
      <c r="DK22" s="1022"/>
      <c r="DL22" s="1022"/>
      <c r="DM22" s="1022"/>
      <c r="DN22" s="1022"/>
      <c r="DO22" s="1022"/>
      <c r="DP22" s="1022"/>
      <c r="DQ22" s="1022"/>
      <c r="DR22" s="1022"/>
      <c r="DS22" s="1022"/>
      <c r="DT22" s="1022"/>
      <c r="DU22" s="1022"/>
      <c r="DV22" s="1022"/>
      <c r="DW22" s="1022"/>
      <c r="DX22" s="1022"/>
      <c r="DY22" s="1022"/>
      <c r="DZ22" s="1022"/>
      <c r="EA22" s="1022"/>
      <c r="EB22" s="1022"/>
      <c r="EC22" s="1022"/>
      <c r="ED22" s="1022"/>
      <c r="EE22" s="1022"/>
      <c r="EF22" s="1022"/>
      <c r="EG22" s="1022"/>
      <c r="EH22" s="1022"/>
      <c r="EI22" s="1022"/>
      <c r="EJ22" s="1022"/>
      <c r="EK22" s="1022"/>
      <c r="EL22" s="1022"/>
      <c r="EM22" s="1022"/>
      <c r="EN22" s="1022"/>
      <c r="EO22" s="1022"/>
      <c r="EP22" s="1022"/>
      <c r="EQ22" s="1022"/>
      <c r="ER22" s="1022"/>
      <c r="ES22" s="1022"/>
      <c r="ET22" s="1022"/>
      <c r="EU22" s="1022"/>
      <c r="EV22" s="1022"/>
      <c r="EW22" s="1022"/>
      <c r="EX22" s="1022"/>
      <c r="EY22" s="1022"/>
      <c r="EZ22" s="1022"/>
      <c r="FA22" s="1022"/>
      <c r="FB22" s="1022"/>
      <c r="FC22" s="1022"/>
      <c r="FD22" s="1022"/>
      <c r="FE22" s="1022"/>
      <c r="FF22" s="1022"/>
      <c r="FG22" s="1022"/>
      <c r="FH22" s="1022"/>
      <c r="FI22" s="1022"/>
      <c r="FJ22" s="1022"/>
      <c r="FK22" s="1022"/>
      <c r="FL22" s="1022"/>
      <c r="FM22" s="1022"/>
      <c r="FN22" s="1022"/>
      <c r="FO22" s="1022"/>
      <c r="FP22" s="1022"/>
      <c r="FQ22" s="1022"/>
      <c r="FR22" s="1022"/>
      <c r="FS22" s="1022"/>
      <c r="FT22" s="1022"/>
      <c r="FU22" s="1022"/>
      <c r="FV22" s="1022"/>
      <c r="FW22" s="1022"/>
      <c r="FX22" s="1022"/>
      <c r="FY22" s="1022"/>
      <c r="FZ22" s="1022"/>
      <c r="GA22" s="1022"/>
      <c r="GB22" s="1022"/>
      <c r="GC22" s="1022"/>
      <c r="GD22" s="1022"/>
      <c r="GE22" s="1022"/>
      <c r="GF22" s="1022"/>
      <c r="GG22" s="1022"/>
      <c r="GH22" s="1022"/>
      <c r="GI22" s="1022"/>
      <c r="GJ22" s="1022"/>
      <c r="GK22" s="1022"/>
      <c r="GL22" s="1022"/>
      <c r="GM22" s="1022"/>
      <c r="GN22" s="1022"/>
      <c r="GO22" s="1022"/>
      <c r="GP22" s="1022"/>
      <c r="GQ22" s="1022"/>
      <c r="GR22" s="1022"/>
      <c r="GS22" s="1022"/>
      <c r="GT22" s="1022"/>
      <c r="GU22" s="1022"/>
      <c r="GV22" s="1022"/>
      <c r="GW22" s="1022"/>
      <c r="GX22" s="1022"/>
      <c r="GY22" s="1022"/>
      <c r="GZ22" s="1022"/>
      <c r="HA22" s="1022"/>
      <c r="HB22" s="1022"/>
      <c r="HC22" s="1022"/>
      <c r="HD22" s="1022"/>
      <c r="HE22" s="1022"/>
      <c r="HF22" s="1022"/>
      <c r="HG22" s="1022"/>
      <c r="HH22" s="1022"/>
      <c r="HI22" s="1022"/>
      <c r="HJ22" s="1022"/>
      <c r="HK22" s="1022"/>
      <c r="HL22" s="1022"/>
      <c r="HM22" s="1022"/>
      <c r="HN22" s="1022"/>
      <c r="HO22" s="1022"/>
      <c r="HP22" s="1022"/>
      <c r="HQ22" s="1022"/>
      <c r="HR22" s="1022"/>
      <c r="HS22" s="1022"/>
      <c r="HT22" s="1022"/>
      <c r="HU22" s="1022"/>
      <c r="HV22" s="1022"/>
      <c r="HW22" s="1022"/>
      <c r="HX22" s="1022"/>
      <c r="HY22" s="1022"/>
      <c r="HZ22" s="1022"/>
      <c r="IA22" s="1022"/>
      <c r="IB22" s="1022"/>
      <c r="IC22" s="1022"/>
      <c r="ID22" s="1022"/>
      <c r="IE22" s="1022"/>
    </row>
    <row r="23" spans="1:239" s="74" customFormat="1" ht="20.25" customHeight="1" thickBot="1" x14ac:dyDescent="0.25">
      <c r="A23" s="359"/>
      <c r="B23" s="360"/>
      <c r="C23" s="361"/>
      <c r="D23" s="362"/>
      <c r="E23" s="363"/>
      <c r="F23" s="363"/>
      <c r="G23" s="363"/>
      <c r="H23" s="363"/>
      <c r="I23" s="363"/>
      <c r="J23" s="363"/>
      <c r="K23" s="1029"/>
      <c r="L23" s="361"/>
      <c r="M23" s="88"/>
      <c r="N23" s="88"/>
      <c r="O23" s="88"/>
      <c r="P23" s="88"/>
      <c r="Q23" s="88"/>
      <c r="R23" s="88"/>
      <c r="S23" s="88"/>
      <c r="T23" s="88"/>
      <c r="U23" s="88"/>
      <c r="V23" s="88"/>
      <c r="W23" s="88"/>
      <c r="X23" s="88"/>
      <c r="Y23" s="88"/>
      <c r="Z23" s="88"/>
      <c r="AA23" s="88"/>
      <c r="AB23" s="88"/>
      <c r="AC23" s="88"/>
      <c r="AD23" s="1022"/>
      <c r="AE23" s="1022"/>
      <c r="AF23" s="1022"/>
      <c r="AG23" s="1022"/>
      <c r="AH23" s="1022"/>
      <c r="AI23" s="1022"/>
      <c r="AJ23" s="1022"/>
      <c r="AK23" s="1022"/>
      <c r="AL23" s="1022"/>
      <c r="AM23" s="1022"/>
      <c r="AN23" s="1022"/>
      <c r="AO23" s="1022"/>
      <c r="AP23" s="1022"/>
      <c r="AQ23" s="1022"/>
      <c r="AR23" s="1022"/>
      <c r="AS23" s="1022"/>
      <c r="AT23" s="1022"/>
      <c r="AU23" s="1022"/>
      <c r="AV23" s="1022"/>
      <c r="AW23" s="1022"/>
      <c r="AX23" s="1022"/>
      <c r="AY23" s="1022"/>
      <c r="AZ23" s="1022"/>
      <c r="BA23" s="1022"/>
      <c r="BB23" s="1022"/>
      <c r="BC23" s="1022"/>
      <c r="BD23" s="1022"/>
      <c r="BE23" s="1022"/>
      <c r="BF23" s="1022"/>
      <c r="BG23" s="1022"/>
      <c r="BH23" s="1022"/>
      <c r="BI23" s="1022"/>
      <c r="BJ23" s="1022"/>
      <c r="BK23" s="1022"/>
      <c r="BL23" s="1022"/>
      <c r="BM23" s="1022"/>
      <c r="BN23" s="1022"/>
      <c r="BO23" s="1022"/>
      <c r="BP23" s="1022"/>
      <c r="BQ23" s="1022"/>
      <c r="BR23" s="1022"/>
      <c r="BS23" s="1022"/>
      <c r="BT23" s="1022"/>
      <c r="BU23" s="1022"/>
      <c r="BV23" s="1022"/>
      <c r="BW23" s="1022"/>
      <c r="BX23" s="1022"/>
      <c r="BY23" s="1022"/>
      <c r="BZ23" s="1022"/>
      <c r="CA23" s="1022"/>
      <c r="CB23" s="1022"/>
      <c r="CC23" s="1022"/>
      <c r="CD23" s="1022"/>
      <c r="CE23" s="1022"/>
      <c r="CF23" s="1022"/>
      <c r="CG23" s="1022"/>
      <c r="CH23" s="1022"/>
      <c r="CI23" s="1022"/>
      <c r="CJ23" s="1022"/>
      <c r="CK23" s="1022"/>
      <c r="CL23" s="1022"/>
      <c r="CM23" s="1022"/>
      <c r="CN23" s="1022"/>
      <c r="CO23" s="1022"/>
      <c r="CP23" s="1022"/>
      <c r="CQ23" s="1022"/>
      <c r="CR23" s="1022"/>
      <c r="CS23" s="1022"/>
      <c r="CT23" s="1022"/>
      <c r="CU23" s="1022"/>
      <c r="CV23" s="1022"/>
      <c r="CW23" s="1022"/>
      <c r="CX23" s="1022"/>
      <c r="CY23" s="1022"/>
      <c r="CZ23" s="1022"/>
      <c r="DA23" s="1022"/>
      <c r="DB23" s="1022"/>
      <c r="DC23" s="1022"/>
      <c r="DD23" s="1022"/>
      <c r="DE23" s="1022"/>
      <c r="DF23" s="1022"/>
      <c r="DG23" s="1022"/>
      <c r="DH23" s="1022"/>
      <c r="DI23" s="1022"/>
      <c r="DJ23" s="1022"/>
      <c r="DK23" s="1022"/>
      <c r="DL23" s="1022"/>
      <c r="DM23" s="1022"/>
      <c r="DN23" s="1022"/>
      <c r="DO23" s="1022"/>
      <c r="DP23" s="1022"/>
      <c r="DQ23" s="1022"/>
      <c r="DR23" s="1022"/>
      <c r="DS23" s="1022"/>
      <c r="DT23" s="1022"/>
      <c r="DU23" s="1022"/>
      <c r="DV23" s="1022"/>
      <c r="DW23" s="1022"/>
      <c r="DX23" s="1022"/>
      <c r="DY23" s="1022"/>
      <c r="DZ23" s="1022"/>
      <c r="EA23" s="1022"/>
      <c r="EB23" s="1022"/>
      <c r="EC23" s="1022"/>
      <c r="ED23" s="1022"/>
      <c r="EE23" s="1022"/>
      <c r="EF23" s="1022"/>
      <c r="EG23" s="1022"/>
      <c r="EH23" s="1022"/>
      <c r="EI23" s="1022"/>
      <c r="EJ23" s="1022"/>
      <c r="EK23" s="1022"/>
      <c r="EL23" s="1022"/>
      <c r="EM23" s="1022"/>
      <c r="EN23" s="1022"/>
      <c r="EO23" s="1022"/>
      <c r="EP23" s="1022"/>
      <c r="EQ23" s="1022"/>
      <c r="ER23" s="1022"/>
      <c r="ES23" s="1022"/>
      <c r="ET23" s="1022"/>
      <c r="EU23" s="1022"/>
      <c r="EV23" s="1022"/>
      <c r="EW23" s="1022"/>
      <c r="EX23" s="1022"/>
      <c r="EY23" s="1022"/>
      <c r="EZ23" s="1022"/>
      <c r="FA23" s="1022"/>
      <c r="FB23" s="1022"/>
      <c r="FC23" s="1022"/>
      <c r="FD23" s="1022"/>
      <c r="FE23" s="1022"/>
      <c r="FF23" s="1022"/>
      <c r="FG23" s="1022"/>
      <c r="FH23" s="1022"/>
      <c r="FI23" s="1022"/>
      <c r="FJ23" s="1022"/>
      <c r="FK23" s="1022"/>
      <c r="FL23" s="1022"/>
      <c r="FM23" s="1022"/>
      <c r="FN23" s="1022"/>
      <c r="FO23" s="1022"/>
      <c r="FP23" s="1022"/>
      <c r="FQ23" s="1022"/>
      <c r="FR23" s="1022"/>
      <c r="FS23" s="1022"/>
      <c r="FT23" s="1022"/>
      <c r="FU23" s="1022"/>
      <c r="FV23" s="1022"/>
      <c r="FW23" s="1022"/>
      <c r="FX23" s="1022"/>
      <c r="FY23" s="1022"/>
      <c r="FZ23" s="1022"/>
      <c r="GA23" s="1022"/>
      <c r="GB23" s="1022"/>
      <c r="GC23" s="1022"/>
      <c r="GD23" s="1022"/>
      <c r="GE23" s="1022"/>
      <c r="GF23" s="1022"/>
      <c r="GG23" s="1022"/>
      <c r="GH23" s="1022"/>
      <c r="GI23" s="1022"/>
      <c r="GJ23" s="1022"/>
      <c r="GK23" s="1022"/>
      <c r="GL23" s="1022"/>
      <c r="GM23" s="1022"/>
      <c r="GN23" s="1022"/>
      <c r="GO23" s="1022"/>
      <c r="GP23" s="1022"/>
      <c r="GQ23" s="1022"/>
      <c r="GR23" s="1022"/>
      <c r="GS23" s="1022"/>
      <c r="GT23" s="1022"/>
      <c r="GU23" s="1022"/>
      <c r="GV23" s="1022"/>
      <c r="GW23" s="1022"/>
      <c r="GX23" s="1022"/>
      <c r="GY23" s="1022"/>
      <c r="GZ23" s="1022"/>
      <c r="HA23" s="1022"/>
      <c r="HB23" s="1022"/>
      <c r="HC23" s="1022"/>
      <c r="HD23" s="1022"/>
      <c r="HE23" s="1022"/>
      <c r="HF23" s="1022"/>
      <c r="HG23" s="1022"/>
      <c r="HH23" s="1022"/>
      <c r="HI23" s="1022"/>
      <c r="HJ23" s="1022"/>
      <c r="HK23" s="1022"/>
      <c r="HL23" s="1022"/>
      <c r="HM23" s="1022"/>
      <c r="HN23" s="1022"/>
      <c r="HO23" s="1022"/>
      <c r="HP23" s="1022"/>
      <c r="HQ23" s="1022"/>
      <c r="HR23" s="1022"/>
      <c r="HS23" s="1022"/>
      <c r="HT23" s="1022"/>
      <c r="HU23" s="1022"/>
      <c r="HV23" s="1022"/>
      <c r="HW23" s="1022"/>
      <c r="HX23" s="1022"/>
      <c r="HY23" s="1022"/>
      <c r="HZ23" s="1022"/>
      <c r="IA23" s="1022"/>
      <c r="IB23" s="1022"/>
      <c r="IC23" s="1022"/>
      <c r="ID23" s="1022"/>
      <c r="IE23" s="1022"/>
    </row>
    <row r="24" spans="1:239" s="3" customFormat="1" ht="24.75" customHeight="1" thickBot="1" x14ac:dyDescent="0.3">
      <c r="A24" s="2406" t="s">
        <v>465</v>
      </c>
      <c r="B24" s="2407"/>
      <c r="C24" s="2407"/>
      <c r="D24" s="2407"/>
      <c r="E24" s="2407"/>
      <c r="F24" s="2407"/>
      <c r="G24" s="2407"/>
      <c r="H24" s="2407"/>
      <c r="I24" s="2407"/>
      <c r="J24" s="2407"/>
      <c r="K24" s="2408"/>
      <c r="L24" s="1033"/>
      <c r="M24" s="88"/>
      <c r="N24" s="88"/>
      <c r="O24" s="88"/>
      <c r="P24" s="88"/>
      <c r="Q24" s="88"/>
      <c r="R24" s="88"/>
      <c r="S24" s="88"/>
      <c r="T24" s="88"/>
      <c r="U24" s="88"/>
      <c r="V24" s="88"/>
      <c r="W24" s="88"/>
      <c r="X24" s="88"/>
      <c r="Y24" s="88"/>
      <c r="Z24" s="88"/>
      <c r="AA24" s="88"/>
      <c r="AB24" s="88"/>
      <c r="AC24" s="88"/>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69"/>
      <c r="DW24" s="69"/>
      <c r="DX24" s="69"/>
      <c r="DY24" s="69"/>
      <c r="DZ24" s="69"/>
      <c r="EA24" s="69"/>
      <c r="EB24" s="69"/>
      <c r="EC24" s="69"/>
      <c r="ED24" s="69"/>
      <c r="EE24" s="69"/>
      <c r="EF24" s="69"/>
      <c r="EG24" s="69"/>
      <c r="EH24" s="69"/>
      <c r="EI24" s="69"/>
      <c r="EJ24" s="69"/>
      <c r="EK24" s="69"/>
      <c r="EL24" s="69"/>
      <c r="EM24" s="69"/>
      <c r="EN24" s="69"/>
      <c r="EO24" s="69"/>
      <c r="EP24" s="69"/>
      <c r="EQ24" s="69"/>
      <c r="ER24" s="69"/>
      <c r="ES24" s="69"/>
      <c r="ET24" s="69"/>
      <c r="EU24" s="69"/>
      <c r="EV24" s="69"/>
      <c r="EW24" s="69"/>
      <c r="EX24" s="69"/>
      <c r="EY24" s="69"/>
      <c r="EZ24" s="69"/>
      <c r="FA24" s="69"/>
      <c r="FB24" s="69"/>
      <c r="FC24" s="69"/>
      <c r="FD24" s="69"/>
      <c r="FE24" s="69"/>
      <c r="FF24" s="69"/>
      <c r="FG24" s="69"/>
      <c r="FH24" s="69"/>
      <c r="FI24" s="69"/>
      <c r="FJ24" s="69"/>
      <c r="FK24" s="69"/>
      <c r="FL24" s="69"/>
      <c r="FM24" s="69"/>
      <c r="FN24" s="69"/>
      <c r="FO24" s="69"/>
      <c r="FP24" s="69"/>
      <c r="FQ24" s="69"/>
      <c r="FR24" s="69"/>
      <c r="FS24" s="69"/>
      <c r="FT24" s="69"/>
      <c r="FU24" s="69"/>
      <c r="FV24" s="69"/>
      <c r="FW24" s="69"/>
      <c r="FX24" s="69"/>
      <c r="FY24" s="69"/>
      <c r="FZ24" s="69"/>
      <c r="GA24" s="69"/>
      <c r="GB24" s="69"/>
      <c r="GC24" s="69"/>
      <c r="GD24" s="69"/>
      <c r="GE24" s="69"/>
      <c r="GF24" s="69"/>
      <c r="GG24" s="69"/>
      <c r="GH24" s="69"/>
      <c r="GI24" s="69"/>
      <c r="GJ24" s="69"/>
      <c r="GK24" s="69"/>
      <c r="GL24" s="69"/>
      <c r="GM24" s="69"/>
      <c r="GN24" s="69"/>
      <c r="GO24" s="69"/>
      <c r="GP24" s="69"/>
      <c r="GQ24" s="69"/>
      <c r="GR24" s="69"/>
      <c r="GS24" s="69"/>
      <c r="GT24" s="69"/>
      <c r="GU24" s="69"/>
      <c r="GV24" s="69"/>
      <c r="GW24" s="69"/>
      <c r="GX24" s="69"/>
      <c r="GY24" s="69"/>
      <c r="GZ24" s="69"/>
      <c r="HA24" s="69"/>
      <c r="HB24" s="69"/>
      <c r="HC24" s="69"/>
      <c r="HD24" s="69"/>
      <c r="HE24" s="69"/>
      <c r="HF24" s="69"/>
      <c r="HG24" s="69"/>
      <c r="HH24" s="69"/>
      <c r="HI24" s="69"/>
      <c r="HJ24" s="69"/>
      <c r="HK24" s="69"/>
      <c r="HL24" s="69"/>
      <c r="HM24" s="69"/>
      <c r="HN24" s="69"/>
      <c r="HO24" s="69"/>
      <c r="HP24" s="69"/>
      <c r="HQ24" s="69"/>
      <c r="HR24" s="69"/>
      <c r="HS24" s="69"/>
      <c r="HT24" s="69"/>
      <c r="HU24" s="69"/>
      <c r="HV24" s="69"/>
      <c r="HW24" s="69"/>
      <c r="HX24" s="69"/>
      <c r="HY24" s="69"/>
      <c r="HZ24" s="69"/>
      <c r="IA24" s="69"/>
      <c r="IB24" s="69"/>
      <c r="IC24" s="69"/>
      <c r="ID24" s="69"/>
      <c r="IE24" s="69"/>
    </row>
    <row r="25" spans="1:239" s="3" customFormat="1" ht="53.25" customHeight="1" thickBot="1" x14ac:dyDescent="0.25">
      <c r="A25" s="2403" t="s">
        <v>1066</v>
      </c>
      <c r="B25" s="2404"/>
      <c r="C25" s="2404"/>
      <c r="D25" s="2404"/>
      <c r="E25" s="2404"/>
      <c r="F25" s="2404"/>
      <c r="G25" s="2404"/>
      <c r="H25" s="2404"/>
      <c r="I25" s="2404"/>
      <c r="J25" s="2404"/>
      <c r="K25" s="2405"/>
      <c r="L25" s="1033"/>
      <c r="M25" s="88"/>
      <c r="N25" s="88"/>
      <c r="O25" s="88"/>
      <c r="P25" s="88"/>
      <c r="Q25" s="88"/>
      <c r="R25" s="88"/>
      <c r="S25" s="88"/>
      <c r="T25" s="88"/>
      <c r="U25" s="88"/>
      <c r="V25" s="88"/>
      <c r="W25" s="88"/>
      <c r="X25" s="88"/>
      <c r="Y25" s="88"/>
      <c r="Z25" s="88"/>
      <c r="AA25" s="88"/>
      <c r="AB25" s="88"/>
      <c r="AC25" s="88"/>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69"/>
      <c r="DQ25" s="69"/>
      <c r="DR25" s="69"/>
      <c r="DS25" s="69"/>
      <c r="DT25" s="69"/>
      <c r="DU25" s="69"/>
      <c r="DV25" s="69"/>
      <c r="DW25" s="69"/>
      <c r="DX25" s="69"/>
      <c r="DY25" s="69"/>
      <c r="DZ25" s="69"/>
      <c r="EA25" s="69"/>
      <c r="EB25" s="69"/>
      <c r="EC25" s="69"/>
      <c r="ED25" s="69"/>
      <c r="EE25" s="69"/>
      <c r="EF25" s="69"/>
      <c r="EG25" s="69"/>
      <c r="EH25" s="69"/>
      <c r="EI25" s="69"/>
      <c r="EJ25" s="69"/>
      <c r="EK25" s="69"/>
      <c r="EL25" s="69"/>
      <c r="EM25" s="69"/>
      <c r="EN25" s="69"/>
      <c r="EO25" s="69"/>
      <c r="EP25" s="69"/>
      <c r="EQ25" s="69"/>
      <c r="ER25" s="69"/>
      <c r="ES25" s="69"/>
      <c r="ET25" s="69"/>
      <c r="EU25" s="69"/>
      <c r="EV25" s="69"/>
      <c r="EW25" s="69"/>
      <c r="EX25" s="69"/>
      <c r="EY25" s="69"/>
      <c r="EZ25" s="69"/>
      <c r="FA25" s="69"/>
      <c r="FB25" s="69"/>
      <c r="FC25" s="69"/>
      <c r="FD25" s="69"/>
      <c r="FE25" s="69"/>
      <c r="FF25" s="69"/>
      <c r="FG25" s="69"/>
      <c r="FH25" s="69"/>
      <c r="FI25" s="69"/>
      <c r="FJ25" s="69"/>
      <c r="FK25" s="69"/>
      <c r="FL25" s="69"/>
      <c r="FM25" s="69"/>
      <c r="FN25" s="69"/>
      <c r="FO25" s="69"/>
      <c r="FP25" s="69"/>
      <c r="FQ25" s="69"/>
      <c r="FR25" s="69"/>
      <c r="FS25" s="69"/>
      <c r="FT25" s="69"/>
      <c r="FU25" s="69"/>
      <c r="FV25" s="69"/>
      <c r="FW25" s="69"/>
      <c r="FX25" s="69"/>
      <c r="FY25" s="69"/>
      <c r="FZ25" s="69"/>
      <c r="GA25" s="69"/>
      <c r="GB25" s="69"/>
      <c r="GC25" s="69"/>
      <c r="GD25" s="69"/>
      <c r="GE25" s="69"/>
      <c r="GF25" s="69"/>
      <c r="GG25" s="69"/>
      <c r="GH25" s="69"/>
      <c r="GI25" s="69"/>
      <c r="GJ25" s="69"/>
      <c r="GK25" s="69"/>
      <c r="GL25" s="69"/>
      <c r="GM25" s="69"/>
      <c r="GN25" s="69"/>
      <c r="GO25" s="69"/>
      <c r="GP25" s="69"/>
      <c r="GQ25" s="69"/>
      <c r="GR25" s="69"/>
      <c r="GS25" s="69"/>
      <c r="GT25" s="69"/>
      <c r="GU25" s="69"/>
      <c r="GV25" s="69"/>
      <c r="GW25" s="69"/>
      <c r="GX25" s="69"/>
      <c r="GY25" s="69"/>
      <c r="GZ25" s="69"/>
      <c r="HA25" s="69"/>
      <c r="HB25" s="69"/>
      <c r="HC25" s="69"/>
      <c r="HD25" s="69"/>
      <c r="HE25" s="69"/>
      <c r="HF25" s="69"/>
      <c r="HG25" s="69"/>
      <c r="HH25" s="69"/>
      <c r="HI25" s="69"/>
      <c r="HJ25" s="69"/>
      <c r="HK25" s="69"/>
      <c r="HL25" s="69"/>
      <c r="HM25" s="69"/>
      <c r="HN25" s="69"/>
      <c r="HO25" s="69"/>
      <c r="HP25" s="69"/>
      <c r="HQ25" s="69"/>
      <c r="HR25" s="69"/>
      <c r="HS25" s="69"/>
      <c r="HT25" s="69"/>
      <c r="HU25" s="69"/>
      <c r="HV25" s="69"/>
      <c r="HW25" s="69"/>
      <c r="HX25" s="69"/>
      <c r="HY25" s="69"/>
      <c r="HZ25" s="69"/>
      <c r="IA25" s="69"/>
      <c r="IB25" s="69"/>
      <c r="IC25" s="69"/>
      <c r="ID25" s="69"/>
      <c r="IE25" s="69"/>
    </row>
    <row r="26" spans="1:239" s="1022" customFormat="1" ht="13.5" customHeight="1" x14ac:dyDescent="0.2">
      <c r="A26" s="359"/>
      <c r="B26" s="360"/>
      <c r="C26" s="361"/>
      <c r="D26" s="361"/>
      <c r="E26" s="361"/>
      <c r="F26" s="361"/>
      <c r="G26" s="361"/>
      <c r="H26" s="361"/>
      <c r="I26" s="361"/>
      <c r="J26" s="361"/>
      <c r="K26" s="361"/>
      <c r="L26" s="361"/>
      <c r="M26" s="88"/>
      <c r="N26" s="88"/>
      <c r="O26" s="88"/>
      <c r="P26" s="88"/>
      <c r="Q26" s="88"/>
      <c r="R26" s="88"/>
      <c r="S26" s="88"/>
      <c r="T26" s="88"/>
      <c r="U26" s="88"/>
      <c r="V26" s="88"/>
      <c r="W26" s="88"/>
      <c r="X26" s="88"/>
      <c r="Y26" s="88"/>
      <c r="Z26" s="88"/>
      <c r="AA26" s="88"/>
      <c r="AB26" s="88"/>
      <c r="AC26" s="88"/>
    </row>
    <row r="27" spans="1:239" s="88" customFormat="1" ht="14.25" x14ac:dyDescent="0.2">
      <c r="L27" s="1034"/>
    </row>
    <row r="28" spans="1:239" s="88" customFormat="1" ht="14.25" x14ac:dyDescent="0.2">
      <c r="L28" s="1034"/>
    </row>
    <row r="29" spans="1:239" s="88" customFormat="1" ht="14.25" x14ac:dyDescent="0.2">
      <c r="L29" s="1034"/>
    </row>
    <row r="30" spans="1:239" s="88" customFormat="1" ht="14.25" x14ac:dyDescent="0.2">
      <c r="L30" s="1034"/>
    </row>
    <row r="31" spans="1:239" s="88" customFormat="1" ht="14.25" x14ac:dyDescent="0.2">
      <c r="L31" s="1034"/>
    </row>
    <row r="32" spans="1:239" s="88" customFormat="1" ht="14.25" x14ac:dyDescent="0.2">
      <c r="L32" s="1034"/>
    </row>
    <row r="33" spans="12:12" s="88" customFormat="1" ht="14.25" x14ac:dyDescent="0.2">
      <c r="L33" s="1034"/>
    </row>
    <row r="34" spans="12:12" s="88" customFormat="1" ht="14.25" x14ac:dyDescent="0.2">
      <c r="L34" s="1034"/>
    </row>
    <row r="35" spans="12:12" s="88" customFormat="1" ht="14.25" x14ac:dyDescent="0.2">
      <c r="L35" s="1034"/>
    </row>
    <row r="36" spans="12:12" s="88" customFormat="1" ht="14.25" x14ac:dyDescent="0.2">
      <c r="L36" s="1034"/>
    </row>
    <row r="37" spans="12:12" s="88" customFormat="1" ht="14.25" x14ac:dyDescent="0.2">
      <c r="L37" s="1034"/>
    </row>
    <row r="38" spans="12:12" s="88" customFormat="1" ht="14.25" x14ac:dyDescent="0.2">
      <c r="L38" s="1034"/>
    </row>
    <row r="39" spans="12:12" s="88" customFormat="1" ht="14.25" x14ac:dyDescent="0.2">
      <c r="L39" s="1034"/>
    </row>
    <row r="40" spans="12:12" s="88" customFormat="1" ht="14.25" x14ac:dyDescent="0.2">
      <c r="L40" s="1034"/>
    </row>
    <row r="41" spans="12:12" s="88" customFormat="1" ht="14.25" x14ac:dyDescent="0.2">
      <c r="L41" s="1034"/>
    </row>
    <row r="42" spans="12:12" s="88" customFormat="1" ht="14.25" x14ac:dyDescent="0.2">
      <c r="L42" s="1034"/>
    </row>
    <row r="43" spans="12:12" s="88" customFormat="1" ht="14.25" x14ac:dyDescent="0.2">
      <c r="L43" s="1034"/>
    </row>
    <row r="44" spans="12:12" s="88" customFormat="1" ht="14.25" x14ac:dyDescent="0.2">
      <c r="L44" s="1034"/>
    </row>
    <row r="45" spans="12:12" s="88" customFormat="1" ht="14.25" x14ac:dyDescent="0.2">
      <c r="L45" s="1034"/>
    </row>
    <row r="46" spans="12:12" s="88" customFormat="1" ht="14.25" x14ac:dyDescent="0.2">
      <c r="L46" s="1034"/>
    </row>
    <row r="47" spans="12:12" s="88" customFormat="1" ht="14.25" x14ac:dyDescent="0.2">
      <c r="L47" s="1034"/>
    </row>
    <row r="48" spans="12:12" s="88" customFormat="1" ht="14.25" x14ac:dyDescent="0.2">
      <c r="L48" s="1034"/>
    </row>
    <row r="49" spans="12:12" s="88" customFormat="1" ht="14.25" x14ac:dyDescent="0.2">
      <c r="L49" s="1034"/>
    </row>
    <row r="50" spans="12:12" s="88" customFormat="1" ht="14.25" x14ac:dyDescent="0.2">
      <c r="L50" s="1034"/>
    </row>
    <row r="51" spans="12:12" s="88" customFormat="1" ht="14.25" x14ac:dyDescent="0.2">
      <c r="L51" s="1034"/>
    </row>
    <row r="52" spans="12:12" s="88" customFormat="1" ht="14.25" x14ac:dyDescent="0.2">
      <c r="L52" s="1034"/>
    </row>
    <row r="53" spans="12:12" s="88" customFormat="1" ht="14.25" x14ac:dyDescent="0.2">
      <c r="L53" s="1034"/>
    </row>
    <row r="54" spans="12:12" s="88" customFormat="1" ht="14.25" x14ac:dyDescent="0.2">
      <c r="L54" s="1034"/>
    </row>
    <row r="55" spans="12:12" s="88" customFormat="1" ht="14.25" x14ac:dyDescent="0.2">
      <c r="L55" s="1034"/>
    </row>
    <row r="56" spans="12:12" s="88" customFormat="1" ht="14.25" x14ac:dyDescent="0.2">
      <c r="L56" s="1034"/>
    </row>
    <row r="57" spans="12:12" s="88" customFormat="1" ht="14.25" x14ac:dyDescent="0.2">
      <c r="L57" s="1034"/>
    </row>
    <row r="58" spans="12:12" s="88" customFormat="1" ht="14.25" x14ac:dyDescent="0.2">
      <c r="L58" s="1034"/>
    </row>
    <row r="59" spans="12:12" s="88" customFormat="1" ht="14.25" x14ac:dyDescent="0.2">
      <c r="L59" s="1034"/>
    </row>
    <row r="60" spans="12:12" s="88" customFormat="1" ht="14.25" x14ac:dyDescent="0.2">
      <c r="L60" s="1034"/>
    </row>
    <row r="61" spans="12:12" s="88" customFormat="1" ht="14.25" x14ac:dyDescent="0.2">
      <c r="L61" s="1034"/>
    </row>
    <row r="62" spans="12:12" s="88" customFormat="1" ht="14.25" x14ac:dyDescent="0.2">
      <c r="L62" s="1034"/>
    </row>
    <row r="63" spans="12:12" s="88" customFormat="1" ht="14.25" x14ac:dyDescent="0.2">
      <c r="L63" s="1034"/>
    </row>
    <row r="64" spans="12:12" s="88" customFormat="1" ht="14.25" x14ac:dyDescent="0.2">
      <c r="L64" s="1034"/>
    </row>
    <row r="65" spans="12:29" s="88" customFormat="1" ht="14.25" x14ac:dyDescent="0.2">
      <c r="L65" s="1034"/>
    </row>
    <row r="66" spans="12:29" s="88" customFormat="1" ht="14.25" x14ac:dyDescent="0.2">
      <c r="L66" s="1034"/>
    </row>
    <row r="67" spans="12:29" s="88" customFormat="1" ht="14.25" x14ac:dyDescent="0.2">
      <c r="L67" s="1034"/>
    </row>
    <row r="68" spans="12:29" s="88" customFormat="1" ht="14.25" x14ac:dyDescent="0.2">
      <c r="L68" s="1034"/>
    </row>
    <row r="69" spans="12:29" s="88" customFormat="1" ht="14.25" x14ac:dyDescent="0.2">
      <c r="L69" s="1034"/>
    </row>
    <row r="70" spans="12:29" s="88" customFormat="1" ht="14.25" x14ac:dyDescent="0.2">
      <c r="L70" s="1034"/>
    </row>
    <row r="71" spans="12:29" s="88" customFormat="1" ht="14.25" x14ac:dyDescent="0.2">
      <c r="L71" s="1034"/>
    </row>
    <row r="72" spans="12:29" s="88" customFormat="1" ht="14.25" x14ac:dyDescent="0.2">
      <c r="L72" s="1034"/>
      <c r="M72" s="69"/>
      <c r="N72" s="69"/>
      <c r="O72" s="69"/>
      <c r="P72" s="69"/>
      <c r="Q72" s="69"/>
      <c r="R72" s="69"/>
      <c r="S72" s="69"/>
      <c r="T72" s="69"/>
      <c r="U72" s="69"/>
      <c r="V72" s="69"/>
      <c r="W72" s="69"/>
      <c r="X72" s="69"/>
      <c r="Y72" s="69"/>
      <c r="Z72" s="69"/>
      <c r="AA72" s="69"/>
      <c r="AB72" s="69"/>
      <c r="AC72" s="69"/>
    </row>
    <row r="73" spans="12:29" s="88" customFormat="1" ht="14.25" x14ac:dyDescent="0.2">
      <c r="L73" s="1034"/>
      <c r="M73" s="69"/>
      <c r="N73" s="69"/>
      <c r="O73" s="69"/>
      <c r="P73" s="69"/>
      <c r="Q73" s="69"/>
      <c r="R73" s="69"/>
      <c r="S73" s="69"/>
      <c r="T73" s="69"/>
      <c r="U73" s="69"/>
      <c r="V73" s="69"/>
      <c r="W73" s="69"/>
      <c r="X73" s="69"/>
      <c r="Y73" s="69"/>
      <c r="Z73" s="69"/>
      <c r="AA73" s="69"/>
      <c r="AB73" s="69"/>
      <c r="AC73" s="69"/>
    </row>
    <row r="74" spans="12:29" s="88" customFormat="1" ht="14.25" x14ac:dyDescent="0.2">
      <c r="L74" s="1034"/>
      <c r="M74" s="69"/>
      <c r="N74" s="69"/>
      <c r="O74" s="69"/>
      <c r="P74" s="69"/>
      <c r="Q74" s="69"/>
      <c r="R74" s="69"/>
      <c r="S74" s="69"/>
      <c r="T74" s="69"/>
      <c r="U74" s="69"/>
      <c r="V74" s="69"/>
      <c r="W74" s="69"/>
      <c r="X74" s="69"/>
      <c r="Y74" s="69"/>
      <c r="Z74" s="69"/>
      <c r="AA74" s="69"/>
      <c r="AB74" s="69"/>
      <c r="AC74" s="69"/>
    </row>
    <row r="75" spans="12:29" s="88" customFormat="1" ht="14.25" x14ac:dyDescent="0.2">
      <c r="L75" s="1034"/>
      <c r="M75" s="69"/>
      <c r="N75" s="69"/>
      <c r="O75" s="69"/>
      <c r="P75" s="69"/>
      <c r="Q75" s="69"/>
      <c r="R75" s="69"/>
      <c r="S75" s="69"/>
      <c r="T75" s="69"/>
      <c r="U75" s="69"/>
      <c r="V75" s="69"/>
      <c r="W75" s="69"/>
      <c r="X75" s="69"/>
      <c r="Y75" s="69"/>
      <c r="Z75" s="69"/>
      <c r="AA75" s="69"/>
      <c r="AB75" s="69"/>
      <c r="AC75" s="69"/>
    </row>
    <row r="76" spans="12:29" s="88" customFormat="1" ht="14.25" x14ac:dyDescent="0.2">
      <c r="L76" s="1034"/>
      <c r="M76" s="69"/>
      <c r="N76" s="69"/>
      <c r="O76" s="69"/>
      <c r="P76" s="69"/>
      <c r="Q76" s="69"/>
      <c r="R76" s="69"/>
      <c r="S76" s="69"/>
      <c r="T76" s="69"/>
      <c r="U76" s="69"/>
      <c r="V76" s="69"/>
      <c r="W76" s="69"/>
      <c r="X76" s="69"/>
      <c r="Y76" s="69"/>
      <c r="Z76" s="69"/>
      <c r="AA76" s="69"/>
      <c r="AB76" s="69"/>
      <c r="AC76" s="69"/>
    </row>
  </sheetData>
  <sheetProtection password="92D1" sheet="1" formatCells="0" formatColumns="0" formatRows="0"/>
  <customSheetViews>
    <customSheetView guid="{E26F941C-F347-432D-B4B3-73B25F002075}" scale="70" fitToPage="1" hiddenColumns="1" topLeftCell="C1">
      <selection activeCell="G10" sqref="G10:H10"/>
      <pageMargins left="0.39" right="0.31" top="0.77" bottom="0.98425196850393704" header="0.51181102362204722" footer="0.51181102362204722"/>
      <printOptions horizontalCentered="1"/>
      <pageSetup paperSize="9" scale="49" orientation="landscape" cellComments="asDisplayed" r:id="rId1"/>
      <headerFooter alignWithMargins="0">
        <oddFooter>&amp;L&amp;9SD 3.1A - Form, Ongoing DR/PU and LFA Review and Recommendation_v2.1 February 2006&amp;R&amp;9Page &amp;P of &amp;N</oddFooter>
      </headerFooter>
    </customSheetView>
  </customSheetViews>
  <mergeCells count="42">
    <mergeCell ref="S20:T20"/>
    <mergeCell ref="S19:T19"/>
    <mergeCell ref="N18:O18"/>
    <mergeCell ref="S18:T18"/>
    <mergeCell ref="F15:G15"/>
    <mergeCell ref="S15:T15"/>
    <mergeCell ref="N20:O20"/>
    <mergeCell ref="N17:O17"/>
    <mergeCell ref="S17:T17"/>
    <mergeCell ref="S13:T13"/>
    <mergeCell ref="N14:O14"/>
    <mergeCell ref="C6:G6"/>
    <mergeCell ref="C7:G7"/>
    <mergeCell ref="S14:T14"/>
    <mergeCell ref="F14:G14"/>
    <mergeCell ref="N12:O12"/>
    <mergeCell ref="S12:T12"/>
    <mergeCell ref="A25:K25"/>
    <mergeCell ref="A24:K24"/>
    <mergeCell ref="A18:B18"/>
    <mergeCell ref="A20:B20"/>
    <mergeCell ref="A19:B19"/>
    <mergeCell ref="F18:G18"/>
    <mergeCell ref="F19:G19"/>
    <mergeCell ref="F20:G20"/>
    <mergeCell ref="A1:K1"/>
    <mergeCell ref="A3:B3"/>
    <mergeCell ref="D4:E4"/>
    <mergeCell ref="D5:E5"/>
    <mergeCell ref="C3:G3"/>
    <mergeCell ref="A17:B17"/>
    <mergeCell ref="N19:O19"/>
    <mergeCell ref="F12:G12"/>
    <mergeCell ref="A10:K10"/>
    <mergeCell ref="A12:B12"/>
    <mergeCell ref="A13:B13"/>
    <mergeCell ref="F17:G17"/>
    <mergeCell ref="A14:B14"/>
    <mergeCell ref="A15:B15"/>
    <mergeCell ref="F13:G13"/>
    <mergeCell ref="N13:O13"/>
    <mergeCell ref="N15:O15"/>
  </mergeCells>
  <phoneticPr fontId="29" type="noConversion"/>
  <conditionalFormatting sqref="C26:L26 C23:D23 E21:E23 E12 L12:L23 G19:G23 H12 C21:D21 F12:G15 F16:F23 C16:E17 K17:K18 G16:J17 H21:K23">
    <cfRule type="cellIs" dxfId="22" priority="44" stopIfTrue="1" operator="lessThan">
      <formula>0</formula>
    </cfRule>
  </conditionalFormatting>
  <conditionalFormatting sqref="H26:L26 C26:E26 C23:D23 H12 E21:E23 F13:G17 C21:D21 E12 L12:L23 C16:E17 K17:K18 H16:J17 H21:K23">
    <cfRule type="cellIs" dxfId="21" priority="45" stopIfTrue="1" operator="lessThan">
      <formula>0</formula>
    </cfRule>
  </conditionalFormatting>
  <conditionalFormatting sqref="R12 T19:T20 U12 S12:T15 S16:S20 P16:R17 X17:X20 T16:W17">
    <cfRule type="cellIs" dxfId="20" priority="5" stopIfTrue="1" operator="lessThan">
      <formula>0</formula>
    </cfRule>
  </conditionalFormatting>
  <conditionalFormatting sqref="U12 S13:T17 R12 P16:R17 X17:X20 U16:W17">
    <cfRule type="cellIs" dxfId="19" priority="6" stopIfTrue="1" operator="lessThan">
      <formula>0</formula>
    </cfRule>
  </conditionalFormatting>
  <conditionalFormatting sqref="C13:E15 H13:J15 C18:E20 H18:J20">
    <cfRule type="cellIs" dxfId="18" priority="3" operator="notEqual">
      <formula>P13</formula>
    </cfRule>
  </conditionalFormatting>
  <conditionalFormatting sqref="K19:K20">
    <cfRule type="cellIs" dxfId="17" priority="1" stopIfTrue="1" operator="lessThan">
      <formula>0</formula>
    </cfRule>
  </conditionalFormatting>
  <conditionalFormatting sqref="K19:K20">
    <cfRule type="cellIs" dxfId="16" priority="2" stopIfTrue="1" operator="lessThan">
      <formula>0</formula>
    </cfRule>
  </conditionalFormatting>
  <printOptions horizontalCentered="1"/>
  <pageMargins left="0.74803149606299213" right="0.74803149606299213" top="0.39370078740157483" bottom="0.59055118110236227" header="0.51181102362204722" footer="0.51181102362204722"/>
  <pageSetup paperSize="9" scale="41" fitToHeight="0" orientation="landscape" cellComments="asDisplayed" r:id="rId2"/>
  <headerFooter alignWithMargins="0">
    <oddFooter>&amp;L&amp;9&amp;F&amp;C&amp;A&amp;R&amp;9Page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pageSetUpPr fitToPage="1"/>
  </sheetPr>
  <dimension ref="A1:U40"/>
  <sheetViews>
    <sheetView showGridLines="0" view="pageBreakPreview" topLeftCell="B1" zoomScale="70" zoomScaleNormal="55" zoomScaleSheetLayoutView="70" workbookViewId="0">
      <selection activeCell="C18" sqref="C18:F18"/>
    </sheetView>
  </sheetViews>
  <sheetFormatPr defaultRowHeight="12.75" outlineLevelRow="1" x14ac:dyDescent="0.2"/>
  <cols>
    <col min="1" max="1" width="14.85546875" style="13" customWidth="1"/>
    <col min="2" max="2" width="35.85546875" style="13" customWidth="1"/>
    <col min="3" max="3" width="18.5703125" style="13" customWidth="1"/>
    <col min="4" max="4" width="15.85546875" style="37" customWidth="1"/>
    <col min="5" max="5" width="19.5703125" style="13" customWidth="1"/>
    <col min="6" max="6" width="17.42578125" style="13" customWidth="1"/>
    <col min="7" max="7" width="14" style="13" customWidth="1"/>
    <col min="8" max="8" width="13.42578125" style="38" customWidth="1"/>
    <col min="9" max="9" width="13.5703125" style="13" customWidth="1"/>
    <col min="10" max="10" width="17.5703125" style="13" customWidth="1"/>
    <col min="11" max="11" width="21.7109375" style="13" customWidth="1"/>
    <col min="12" max="12" width="16.28515625" style="13" customWidth="1"/>
    <col min="13" max="13" width="26.140625" style="13" customWidth="1"/>
    <col min="14" max="14" width="16.140625" style="13" customWidth="1"/>
    <col min="15" max="15" width="37" style="13" customWidth="1"/>
    <col min="16" max="16" width="17" style="13" customWidth="1"/>
    <col min="17" max="20" width="9.140625" style="63"/>
    <col min="21" max="21" width="15.42578125" style="63" hidden="1" customWidth="1"/>
    <col min="22" max="16384" width="9.140625" style="63"/>
  </cols>
  <sheetData>
    <row r="1" spans="1:21" ht="25.5" customHeight="1" x14ac:dyDescent="0.2">
      <c r="A1" s="1741" t="s">
        <v>410</v>
      </c>
      <c r="B1" s="1741"/>
      <c r="C1" s="1741"/>
      <c r="D1" s="1741"/>
      <c r="E1" s="1741"/>
      <c r="F1" s="1741"/>
      <c r="G1" s="491"/>
      <c r="H1" s="35"/>
      <c r="I1" s="35"/>
      <c r="J1" s="12"/>
      <c r="K1" s="12"/>
      <c r="L1" s="12"/>
      <c r="M1" s="12"/>
      <c r="N1" s="12"/>
      <c r="O1" s="12"/>
      <c r="U1" s="1000" t="s">
        <v>607</v>
      </c>
    </row>
    <row r="2" spans="1:21" ht="25.5" hidden="1" customHeight="1" x14ac:dyDescent="0.2">
      <c r="A2" s="491"/>
      <c r="B2" s="491"/>
      <c r="C2" s="491"/>
      <c r="D2" s="491"/>
      <c r="E2" s="491"/>
      <c r="F2" s="491"/>
      <c r="G2" s="491"/>
      <c r="H2" s="35"/>
      <c r="I2" s="35"/>
      <c r="J2" s="12"/>
      <c r="K2" s="12"/>
      <c r="L2" s="12"/>
      <c r="M2" s="12"/>
      <c r="N2" s="12"/>
      <c r="O2" s="12"/>
      <c r="U2" s="13" t="s">
        <v>530</v>
      </c>
    </row>
    <row r="3" spans="1:21" ht="25.5" hidden="1" customHeight="1" x14ac:dyDescent="0.2">
      <c r="A3" s="491"/>
      <c r="B3" s="491"/>
      <c r="C3" s="491"/>
      <c r="D3" s="491"/>
      <c r="E3" s="491"/>
      <c r="F3" s="491"/>
      <c r="G3" s="491"/>
      <c r="H3" s="35"/>
      <c r="I3" s="35"/>
      <c r="J3" s="12"/>
      <c r="K3" s="12"/>
      <c r="L3" s="12"/>
      <c r="M3" s="12"/>
      <c r="N3" s="12"/>
      <c r="O3" s="12"/>
      <c r="U3" s="13" t="s">
        <v>8</v>
      </c>
    </row>
    <row r="4" spans="1:21" ht="27.75" customHeight="1" thickBot="1" x14ac:dyDescent="0.3">
      <c r="A4" s="99" t="s">
        <v>503</v>
      </c>
      <c r="U4" s="174" t="s">
        <v>33</v>
      </c>
    </row>
    <row r="5" spans="1:21" ht="15" customHeight="1" x14ac:dyDescent="0.2">
      <c r="A5" s="1742" t="s">
        <v>417</v>
      </c>
      <c r="B5" s="1743"/>
      <c r="C5" s="1744" t="s">
        <v>651</v>
      </c>
      <c r="D5" s="1745"/>
      <c r="E5" s="1745"/>
      <c r="F5" s="1746"/>
      <c r="G5" s="49"/>
      <c r="H5" s="170"/>
      <c r="I5" s="4"/>
      <c r="O5" s="44"/>
      <c r="U5" s="174" t="s">
        <v>184</v>
      </c>
    </row>
    <row r="6" spans="1:21" ht="15" customHeight="1" x14ac:dyDescent="0.2">
      <c r="A6" s="1750" t="s">
        <v>418</v>
      </c>
      <c r="B6" s="1751"/>
      <c r="C6" s="1747" t="s">
        <v>652</v>
      </c>
      <c r="D6" s="1748"/>
      <c r="E6" s="1748"/>
      <c r="F6" s="1749"/>
      <c r="G6" s="49"/>
      <c r="H6" s="13"/>
      <c r="U6" s="174" t="s">
        <v>521</v>
      </c>
    </row>
    <row r="7" spans="1:21" ht="27" customHeight="1" x14ac:dyDescent="0.2">
      <c r="A7" s="1750" t="s">
        <v>615</v>
      </c>
      <c r="B7" s="1751"/>
      <c r="C7" s="1752" t="s">
        <v>653</v>
      </c>
      <c r="D7" s="1753"/>
      <c r="E7" s="1753"/>
      <c r="F7" s="1754"/>
      <c r="G7" s="50"/>
      <c r="H7" s="13"/>
      <c r="U7" s="174" t="s">
        <v>526</v>
      </c>
    </row>
    <row r="8" spans="1:21" ht="15" customHeight="1" x14ac:dyDescent="0.2">
      <c r="A8" s="1750" t="s">
        <v>588</v>
      </c>
      <c r="B8" s="1751"/>
      <c r="C8" s="1747" t="s">
        <v>654</v>
      </c>
      <c r="D8" s="1748"/>
      <c r="E8" s="1748"/>
      <c r="F8" s="1749"/>
      <c r="G8" s="49"/>
      <c r="H8" s="13"/>
      <c r="U8" s="13" t="s">
        <v>540</v>
      </c>
    </row>
    <row r="9" spans="1:21" ht="15" customHeight="1" x14ac:dyDescent="0.2">
      <c r="A9" s="1750" t="s">
        <v>613</v>
      </c>
      <c r="B9" s="1751"/>
      <c r="C9" s="1759">
        <v>39479</v>
      </c>
      <c r="D9" s="1760"/>
      <c r="E9" s="1760"/>
      <c r="F9" s="1761"/>
      <c r="G9" s="51"/>
      <c r="H9" s="13"/>
      <c r="U9" s="13" t="s">
        <v>199</v>
      </c>
    </row>
    <row r="10" spans="1:21" ht="15" customHeight="1" thickBot="1" x14ac:dyDescent="0.25">
      <c r="A10" s="1778" t="s">
        <v>589</v>
      </c>
      <c r="B10" s="1779"/>
      <c r="C10" s="1794" t="s">
        <v>655</v>
      </c>
      <c r="D10" s="1795"/>
      <c r="E10" s="1795"/>
      <c r="F10" s="1796"/>
      <c r="G10" s="52"/>
      <c r="H10" s="13"/>
      <c r="U10" s="13" t="s">
        <v>200</v>
      </c>
    </row>
    <row r="11" spans="1:21" ht="27" customHeight="1" thickBot="1" x14ac:dyDescent="0.3">
      <c r="A11" s="98" t="s">
        <v>586</v>
      </c>
      <c r="B11" s="10"/>
      <c r="C11" s="10"/>
      <c r="D11" s="36"/>
      <c r="E11" s="10"/>
      <c r="F11" s="10"/>
      <c r="G11" s="10"/>
      <c r="H11" s="11"/>
      <c r="I11" s="10"/>
      <c r="J11" s="12"/>
      <c r="K11" s="12"/>
      <c r="L11" s="12"/>
      <c r="M11" s="12"/>
      <c r="N11" s="12"/>
    </row>
    <row r="12" spans="1:21" ht="15" customHeight="1" x14ac:dyDescent="0.2">
      <c r="A12" s="493" t="s">
        <v>621</v>
      </c>
      <c r="B12" s="496"/>
      <c r="C12" s="53" t="s">
        <v>627</v>
      </c>
      <c r="D12" s="713" t="s">
        <v>656</v>
      </c>
      <c r="E12" s="43" t="s">
        <v>628</v>
      </c>
      <c r="F12" s="745">
        <v>17</v>
      </c>
      <c r="G12" s="49"/>
      <c r="H12" s="13"/>
    </row>
    <row r="13" spans="1:21" ht="15" customHeight="1" x14ac:dyDescent="0.2">
      <c r="A13" s="513" t="s">
        <v>622</v>
      </c>
      <c r="B13" s="40"/>
      <c r="C13" s="54" t="s">
        <v>590</v>
      </c>
      <c r="D13" s="841">
        <v>40940</v>
      </c>
      <c r="E13" s="5" t="s">
        <v>608</v>
      </c>
      <c r="F13" s="714">
        <v>41029</v>
      </c>
      <c r="G13" s="39"/>
      <c r="H13" s="13"/>
    </row>
    <row r="14" spans="1:21" ht="15" customHeight="1" thickBot="1" x14ac:dyDescent="0.25">
      <c r="A14" s="55" t="s">
        <v>623</v>
      </c>
      <c r="B14" s="41"/>
      <c r="C14" s="1797">
        <v>17</v>
      </c>
      <c r="D14" s="1781"/>
      <c r="E14" s="1781"/>
      <c r="F14" s="1782"/>
      <c r="G14" s="52"/>
      <c r="H14" s="13"/>
    </row>
    <row r="15" spans="1:21" ht="27" customHeight="1" thickBot="1" x14ac:dyDescent="0.3">
      <c r="A15" s="98" t="s">
        <v>585</v>
      </c>
      <c r="B15" s="10"/>
      <c r="C15" s="10"/>
      <c r="D15" s="36"/>
      <c r="E15" s="10"/>
      <c r="F15" s="10"/>
      <c r="G15" s="10"/>
      <c r="H15" s="11"/>
      <c r="I15" s="10"/>
      <c r="J15" s="12"/>
      <c r="K15" s="12"/>
      <c r="L15" s="12"/>
      <c r="M15" s="12"/>
      <c r="N15" s="12"/>
    </row>
    <row r="16" spans="1:21" ht="15" customHeight="1" x14ac:dyDescent="0.2">
      <c r="A16" s="493" t="s">
        <v>626</v>
      </c>
      <c r="B16" s="496"/>
      <c r="C16" s="1237" t="s">
        <v>627</v>
      </c>
      <c r="D16" s="713" t="s">
        <v>657</v>
      </c>
      <c r="E16" s="43" t="s">
        <v>628</v>
      </c>
      <c r="F16" s="746">
        <v>8</v>
      </c>
      <c r="G16" s="49"/>
      <c r="H16" s="13"/>
    </row>
    <row r="17" spans="1:21" ht="15" customHeight="1" x14ac:dyDescent="0.2">
      <c r="A17" s="513" t="s">
        <v>624</v>
      </c>
      <c r="B17" s="40"/>
      <c r="C17" s="1238" t="s">
        <v>590</v>
      </c>
      <c r="D17" s="1068">
        <v>41030</v>
      </c>
      <c r="E17" s="5" t="s">
        <v>608</v>
      </c>
      <c r="F17" s="1348">
        <v>41213</v>
      </c>
      <c r="G17" s="39"/>
      <c r="H17" s="13"/>
    </row>
    <row r="18" spans="1:21" ht="15" customHeight="1" thickBot="1" x14ac:dyDescent="0.25">
      <c r="A18" s="55" t="s">
        <v>625</v>
      </c>
      <c r="B18" s="167"/>
      <c r="C18" s="1780">
        <v>8</v>
      </c>
      <c r="D18" s="1781"/>
      <c r="E18" s="1781"/>
      <c r="F18" s="1782"/>
      <c r="G18" s="52"/>
      <c r="H18" s="13"/>
    </row>
    <row r="19" spans="1:21" ht="15" x14ac:dyDescent="0.2">
      <c r="A19" s="10"/>
      <c r="B19" s="10"/>
      <c r="C19" s="10"/>
      <c r="D19" s="36"/>
      <c r="E19" s="10"/>
      <c r="F19" s="10"/>
      <c r="G19" s="10"/>
      <c r="H19" s="11"/>
      <c r="I19" s="10"/>
      <c r="J19" s="12"/>
      <c r="K19" s="12"/>
      <c r="L19" s="12"/>
      <c r="M19" s="12"/>
      <c r="N19" s="12"/>
    </row>
    <row r="20" spans="1:21" ht="12.75" customHeight="1" x14ac:dyDescent="0.2">
      <c r="A20" s="1783"/>
      <c r="B20" s="1783"/>
      <c r="C20" s="1783"/>
      <c r="D20" s="1783"/>
      <c r="E20" s="1783"/>
      <c r="F20" s="1783"/>
      <c r="G20" s="1783"/>
      <c r="H20" s="1783"/>
      <c r="I20" s="1783"/>
      <c r="J20" s="1783"/>
      <c r="K20" s="1783"/>
      <c r="L20" s="1783"/>
      <c r="M20" s="1783"/>
      <c r="N20" s="1783"/>
      <c r="O20" s="1783"/>
      <c r="P20" s="1783"/>
    </row>
    <row r="21" spans="1:21" ht="12.75" customHeight="1" x14ac:dyDescent="0.2">
      <c r="A21" s="10"/>
      <c r="B21" s="10"/>
      <c r="C21" s="10"/>
      <c r="D21" s="36"/>
      <c r="E21" s="10"/>
      <c r="F21" s="10"/>
      <c r="G21" s="10"/>
      <c r="H21" s="11"/>
      <c r="I21" s="10"/>
      <c r="J21" s="12"/>
      <c r="K21" s="12"/>
      <c r="L21" s="12"/>
      <c r="M21" s="12"/>
      <c r="N21" s="12"/>
    </row>
    <row r="22" spans="1:21" ht="54.75" customHeight="1" x14ac:dyDescent="0.2">
      <c r="A22" s="9" t="s">
        <v>162</v>
      </c>
      <c r="B22" s="9"/>
      <c r="C22" s="10"/>
      <c r="D22" s="36"/>
      <c r="E22" s="10"/>
      <c r="F22" s="10"/>
      <c r="G22" s="10"/>
      <c r="H22" s="11"/>
      <c r="I22" s="10"/>
      <c r="J22" s="12"/>
      <c r="K22" s="12"/>
      <c r="L22" s="12"/>
      <c r="M22" s="12"/>
      <c r="N22" s="12"/>
    </row>
    <row r="23" spans="1:21" s="14" customFormat="1" ht="34.5" customHeight="1" thickBot="1" x14ac:dyDescent="0.25">
      <c r="A23" s="465" t="s">
        <v>411</v>
      </c>
      <c r="B23" s="45"/>
      <c r="C23" s="45"/>
      <c r="D23" s="45"/>
      <c r="E23" s="45"/>
      <c r="F23" s="45"/>
      <c r="G23" s="45"/>
      <c r="H23" s="45"/>
      <c r="I23" s="45"/>
      <c r="J23" s="45"/>
      <c r="K23" s="45"/>
      <c r="L23" s="45"/>
      <c r="M23" s="45"/>
      <c r="N23" s="45"/>
      <c r="O23" s="45"/>
      <c r="P23" s="46"/>
      <c r="U23" s="63"/>
    </row>
    <row r="24" spans="1:21" s="67" customFormat="1" ht="20.25" customHeight="1" x14ac:dyDescent="0.2">
      <c r="A24" s="887" t="s">
        <v>376</v>
      </c>
      <c r="B24" s="56"/>
      <c r="C24" s="56"/>
      <c r="D24" s="56"/>
      <c r="E24" s="56"/>
      <c r="F24" s="56"/>
      <c r="G24" s="56"/>
      <c r="H24" s="56"/>
      <c r="I24" s="56"/>
      <c r="J24" s="56"/>
      <c r="K24" s="56"/>
      <c r="L24" s="56"/>
      <c r="M24" s="56"/>
      <c r="N24" s="56"/>
      <c r="O24" s="1786"/>
      <c r="P24" s="1787"/>
      <c r="U24" s="14"/>
    </row>
    <row r="25" spans="1:21" ht="31.5" customHeight="1" x14ac:dyDescent="0.2">
      <c r="A25" s="1784" t="s">
        <v>630</v>
      </c>
      <c r="B25" s="1762" t="s">
        <v>593</v>
      </c>
      <c r="C25" s="1763"/>
      <c r="D25" s="1763"/>
      <c r="E25" s="1763"/>
      <c r="F25" s="1764"/>
      <c r="G25" s="1762" t="s">
        <v>616</v>
      </c>
      <c r="H25" s="1788"/>
      <c r="I25" s="1768" t="s">
        <v>154</v>
      </c>
      <c r="J25" s="1768" t="s">
        <v>155</v>
      </c>
      <c r="K25" s="1768" t="s">
        <v>575</v>
      </c>
      <c r="L25" s="1768" t="s">
        <v>156</v>
      </c>
      <c r="M25" s="1768" t="s">
        <v>134</v>
      </c>
      <c r="N25" s="1762" t="s">
        <v>576</v>
      </c>
      <c r="O25" s="1789"/>
      <c r="P25" s="1790"/>
      <c r="U25" s="67"/>
    </row>
    <row r="26" spans="1:21" ht="22.5" customHeight="1" thickBot="1" x14ac:dyDescent="0.25">
      <c r="A26" s="1785"/>
      <c r="B26" s="1765"/>
      <c r="C26" s="1766"/>
      <c r="D26" s="1766"/>
      <c r="E26" s="1766"/>
      <c r="F26" s="1767"/>
      <c r="G26" s="1076" t="s">
        <v>591</v>
      </c>
      <c r="H26" s="1076" t="s">
        <v>592</v>
      </c>
      <c r="I26" s="1769"/>
      <c r="J26" s="1769"/>
      <c r="K26" s="1769"/>
      <c r="L26" s="1769"/>
      <c r="M26" s="1769"/>
      <c r="N26" s="1791"/>
      <c r="O26" s="1792"/>
      <c r="P26" s="1793"/>
    </row>
    <row r="27" spans="1:21" ht="59.25" customHeight="1" x14ac:dyDescent="0.2">
      <c r="A27" s="1073" t="s">
        <v>658</v>
      </c>
      <c r="B27" s="1775" t="s">
        <v>683</v>
      </c>
      <c r="C27" s="1776"/>
      <c r="D27" s="1776"/>
      <c r="E27" s="1776"/>
      <c r="F27" s="1777"/>
      <c r="G27" s="1383" t="s">
        <v>662</v>
      </c>
      <c r="H27" s="1387">
        <v>2006</v>
      </c>
      <c r="I27" s="1387">
        <v>2011</v>
      </c>
      <c r="J27" s="1388" t="s">
        <v>664</v>
      </c>
      <c r="K27" s="1067" t="s">
        <v>473</v>
      </c>
      <c r="L27" s="1113" t="s">
        <v>473</v>
      </c>
      <c r="M27" s="915" t="s">
        <v>8</v>
      </c>
      <c r="N27" s="1773" t="s">
        <v>1182</v>
      </c>
      <c r="O27" s="1773"/>
      <c r="P27" s="1774"/>
    </row>
    <row r="28" spans="1:21" ht="59.25" customHeight="1" x14ac:dyDescent="0.2">
      <c r="A28" s="1073" t="s">
        <v>658</v>
      </c>
      <c r="B28" s="1770" t="s">
        <v>659</v>
      </c>
      <c r="C28" s="1771"/>
      <c r="D28" s="1771"/>
      <c r="E28" s="1771"/>
      <c r="F28" s="1772"/>
      <c r="G28" s="1384" t="s">
        <v>663</v>
      </c>
      <c r="H28" s="1387">
        <v>2006</v>
      </c>
      <c r="I28" s="1387">
        <v>2011</v>
      </c>
      <c r="J28" s="1388" t="s">
        <v>664</v>
      </c>
      <c r="K28" s="1067" t="s">
        <v>473</v>
      </c>
      <c r="L28" s="1113" t="s">
        <v>473</v>
      </c>
      <c r="M28" s="915" t="s">
        <v>8</v>
      </c>
      <c r="N28" s="1773" t="s">
        <v>1183</v>
      </c>
      <c r="O28" s="1773"/>
      <c r="P28" s="1774"/>
    </row>
    <row r="29" spans="1:21" ht="59.25" customHeight="1" x14ac:dyDescent="0.2">
      <c r="A29" s="1073" t="s">
        <v>370</v>
      </c>
      <c r="B29" s="1770" t="s">
        <v>660</v>
      </c>
      <c r="C29" s="1771"/>
      <c r="D29" s="1771"/>
      <c r="E29" s="1771"/>
      <c r="F29" s="1772"/>
      <c r="G29" s="1385">
        <v>0.47</v>
      </c>
      <c r="H29" s="1387">
        <v>2009</v>
      </c>
      <c r="I29" s="1387">
        <v>2011</v>
      </c>
      <c r="J29" s="1388" t="s">
        <v>665</v>
      </c>
      <c r="K29" s="1067" t="s">
        <v>678</v>
      </c>
      <c r="L29" s="1113" t="s">
        <v>665</v>
      </c>
      <c r="M29" s="915" t="s">
        <v>530</v>
      </c>
      <c r="N29" s="1755" t="s">
        <v>1180</v>
      </c>
      <c r="O29" s="1756"/>
      <c r="P29" s="1757"/>
    </row>
    <row r="30" spans="1:21" ht="59.25" customHeight="1" x14ac:dyDescent="0.2">
      <c r="A30" s="1073" t="s">
        <v>370</v>
      </c>
      <c r="B30" s="1758" t="s">
        <v>661</v>
      </c>
      <c r="C30" s="1758"/>
      <c r="D30" s="1758"/>
      <c r="E30" s="1758"/>
      <c r="F30" s="1758"/>
      <c r="G30" s="1386">
        <v>0.53</v>
      </c>
      <c r="H30" s="1387">
        <v>2009</v>
      </c>
      <c r="I30" s="1387">
        <v>2011</v>
      </c>
      <c r="J30" s="1388" t="s">
        <v>666</v>
      </c>
      <c r="K30" s="1067" t="s">
        <v>678</v>
      </c>
      <c r="L30" s="1113" t="s">
        <v>665</v>
      </c>
      <c r="M30" s="915" t="s">
        <v>530</v>
      </c>
      <c r="N30" s="1755" t="s">
        <v>1181</v>
      </c>
      <c r="O30" s="1756"/>
      <c r="P30" s="1757"/>
    </row>
    <row r="31" spans="1:21" ht="59.25" customHeight="1" x14ac:dyDescent="0.2">
      <c r="A31" s="1073" t="s">
        <v>607</v>
      </c>
      <c r="B31" s="1758"/>
      <c r="C31" s="1758"/>
      <c r="D31" s="1758"/>
      <c r="E31" s="1758"/>
      <c r="F31" s="1758"/>
      <c r="G31" s="1129" t="s">
        <v>473</v>
      </c>
      <c r="H31" s="1140" t="s">
        <v>473</v>
      </c>
      <c r="I31" s="1140" t="s">
        <v>473</v>
      </c>
      <c r="J31" s="1113" t="s">
        <v>473</v>
      </c>
      <c r="K31" s="1067" t="s">
        <v>473</v>
      </c>
      <c r="L31" s="1113" t="s">
        <v>473</v>
      </c>
      <c r="M31" s="915" t="s">
        <v>607</v>
      </c>
      <c r="N31" s="1755" t="s">
        <v>183</v>
      </c>
      <c r="O31" s="1756"/>
      <c r="P31" s="1757"/>
    </row>
    <row r="32" spans="1:21" ht="59.25" customHeight="1" x14ac:dyDescent="0.2">
      <c r="A32" s="1073" t="s">
        <v>607</v>
      </c>
      <c r="B32" s="1758"/>
      <c r="C32" s="1758"/>
      <c r="D32" s="1758"/>
      <c r="E32" s="1758"/>
      <c r="F32" s="1758"/>
      <c r="G32" s="1129" t="s">
        <v>473</v>
      </c>
      <c r="H32" s="1140" t="s">
        <v>473</v>
      </c>
      <c r="I32" s="1140" t="s">
        <v>473</v>
      </c>
      <c r="J32" s="1113" t="s">
        <v>473</v>
      </c>
      <c r="K32" s="1067" t="s">
        <v>473</v>
      </c>
      <c r="L32" s="1113" t="s">
        <v>473</v>
      </c>
      <c r="M32" s="915" t="s">
        <v>607</v>
      </c>
      <c r="N32" s="1755"/>
      <c r="O32" s="1756"/>
      <c r="P32" s="1757"/>
    </row>
    <row r="33" spans="1:21" ht="59.25" customHeight="1" outlineLevel="1" x14ac:dyDescent="0.2">
      <c r="A33" s="1073" t="s">
        <v>607</v>
      </c>
      <c r="B33" s="1758"/>
      <c r="C33" s="1758"/>
      <c r="D33" s="1758"/>
      <c r="E33" s="1758"/>
      <c r="F33" s="1758"/>
      <c r="G33" s="1129" t="s">
        <v>473</v>
      </c>
      <c r="H33" s="1140" t="s">
        <v>473</v>
      </c>
      <c r="I33" s="1140" t="s">
        <v>473</v>
      </c>
      <c r="J33" s="1113" t="s">
        <v>473</v>
      </c>
      <c r="K33" s="1067" t="s">
        <v>473</v>
      </c>
      <c r="L33" s="1113" t="s">
        <v>473</v>
      </c>
      <c r="M33" s="915" t="s">
        <v>607</v>
      </c>
      <c r="N33" s="1755"/>
      <c r="O33" s="1756"/>
      <c r="P33" s="1757"/>
    </row>
    <row r="34" spans="1:21" ht="59.25" customHeight="1" outlineLevel="1" x14ac:dyDescent="0.2">
      <c r="A34" s="1073" t="s">
        <v>607</v>
      </c>
      <c r="B34" s="1758"/>
      <c r="C34" s="1758"/>
      <c r="D34" s="1758"/>
      <c r="E34" s="1758"/>
      <c r="F34" s="1758"/>
      <c r="G34" s="1129" t="s">
        <v>473</v>
      </c>
      <c r="H34" s="1140" t="s">
        <v>473</v>
      </c>
      <c r="I34" s="1140" t="s">
        <v>473</v>
      </c>
      <c r="J34" s="1113" t="s">
        <v>473</v>
      </c>
      <c r="K34" s="1067" t="s">
        <v>473</v>
      </c>
      <c r="L34" s="1113" t="s">
        <v>473</v>
      </c>
      <c r="M34" s="915" t="s">
        <v>607</v>
      </c>
      <c r="N34" s="1755"/>
      <c r="O34" s="1756"/>
      <c r="P34" s="1757"/>
    </row>
    <row r="35" spans="1:21" ht="59.25" customHeight="1" outlineLevel="1" x14ac:dyDescent="0.2">
      <c r="A35" s="1073" t="s">
        <v>607</v>
      </c>
      <c r="B35" s="1758"/>
      <c r="C35" s="1758"/>
      <c r="D35" s="1758"/>
      <c r="E35" s="1758"/>
      <c r="F35" s="1758"/>
      <c r="G35" s="1129" t="s">
        <v>473</v>
      </c>
      <c r="H35" s="1140" t="s">
        <v>473</v>
      </c>
      <c r="I35" s="1140" t="s">
        <v>473</v>
      </c>
      <c r="J35" s="1113" t="s">
        <v>473</v>
      </c>
      <c r="K35" s="1067" t="s">
        <v>473</v>
      </c>
      <c r="L35" s="1113" t="s">
        <v>473</v>
      </c>
      <c r="M35" s="915" t="s">
        <v>607</v>
      </c>
      <c r="N35" s="1755"/>
      <c r="O35" s="1756"/>
      <c r="P35" s="1757"/>
    </row>
    <row r="36" spans="1:21" ht="59.25" customHeight="1" outlineLevel="1" x14ac:dyDescent="0.2">
      <c r="A36" s="1297" t="s">
        <v>607</v>
      </c>
      <c r="B36" s="1758"/>
      <c r="C36" s="1758"/>
      <c r="D36" s="1758"/>
      <c r="E36" s="1758"/>
      <c r="F36" s="1758"/>
      <c r="G36" s="1129" t="s">
        <v>473</v>
      </c>
      <c r="H36" s="1140" t="s">
        <v>473</v>
      </c>
      <c r="I36" s="1140" t="s">
        <v>473</v>
      </c>
      <c r="J36" s="1113" t="s">
        <v>473</v>
      </c>
      <c r="K36" s="1067" t="s">
        <v>473</v>
      </c>
      <c r="L36" s="1113" t="s">
        <v>473</v>
      </c>
      <c r="M36" s="915" t="s">
        <v>607</v>
      </c>
      <c r="N36" s="1755"/>
      <c r="O36" s="1756"/>
      <c r="P36" s="1757"/>
    </row>
    <row r="37" spans="1:21" s="14" customFormat="1" ht="13.5" customHeight="1" x14ac:dyDescent="0.2">
      <c r="A37" s="33"/>
      <c r="B37" s="45"/>
      <c r="C37" s="45"/>
      <c r="D37" s="45"/>
      <c r="E37" s="45"/>
      <c r="F37" s="45"/>
      <c r="G37" s="45"/>
      <c r="H37" s="45"/>
      <c r="I37" s="45"/>
      <c r="J37" s="45"/>
      <c r="K37" s="45"/>
      <c r="L37" s="45"/>
      <c r="M37" s="45"/>
      <c r="N37" s="45"/>
      <c r="O37" s="45"/>
      <c r="P37" s="46"/>
      <c r="U37" s="63"/>
    </row>
    <row r="38" spans="1:21" s="14" customFormat="1" ht="13.5" customHeight="1" x14ac:dyDescent="0.2">
      <c r="A38" s="12"/>
      <c r="B38" s="12"/>
      <c r="C38" s="12"/>
      <c r="D38" s="12"/>
      <c r="E38" s="12"/>
      <c r="F38" s="12"/>
      <c r="G38" s="12"/>
      <c r="H38" s="12"/>
      <c r="I38" s="12"/>
      <c r="J38" s="12"/>
      <c r="K38" s="12"/>
      <c r="L38" s="12"/>
      <c r="M38" s="12"/>
      <c r="N38" s="12"/>
      <c r="O38" s="12"/>
      <c r="P38" s="12"/>
    </row>
    <row r="39" spans="1:21" x14ac:dyDescent="0.2">
      <c r="U39" s="14"/>
    </row>
    <row r="40" spans="1:21" ht="12.75" customHeight="1" x14ac:dyDescent="0.2"/>
  </sheetData>
  <sheetProtection formatCells="0" formatColumns="0" formatRows="0"/>
  <customSheetViews>
    <customSheetView guid="{E26F941C-F347-432D-B4B3-73B25F002075}" scale="55" showPageBreaks="1" showGridLines="0" fitToPage="1" printArea="1" hiddenRows="1" topLeftCell="A13">
      <selection activeCell="B51" sqref="B51:H51"/>
      <pageMargins left="0.41" right="0.43" top="0.43" bottom="0.46" header="0.4" footer="0.28000000000000003"/>
      <printOptions horizontalCentered="1"/>
      <pageSetup paperSize="9" scale="31" orientation="landscape" cellComments="asDisplayed" r:id="rId1"/>
      <headerFooter alignWithMargins="0">
        <oddFooter>&amp;L&amp;9SD 3.1A - Form, Ongoing DR/PU and LFA Review and Recommendation_v2.1 February 2006&amp;R&amp;9Page &amp;P of &amp;N</oddFooter>
      </headerFooter>
    </customSheetView>
  </customSheetViews>
  <mergeCells count="46">
    <mergeCell ref="N28:P28"/>
    <mergeCell ref="B27:F27"/>
    <mergeCell ref="B28:F28"/>
    <mergeCell ref="A10:B10"/>
    <mergeCell ref="C18:F18"/>
    <mergeCell ref="A20:P20"/>
    <mergeCell ref="A25:A26"/>
    <mergeCell ref="O24:P24"/>
    <mergeCell ref="L25:L26"/>
    <mergeCell ref="G25:H25"/>
    <mergeCell ref="N25:P26"/>
    <mergeCell ref="M25:M26"/>
    <mergeCell ref="K25:K26"/>
    <mergeCell ref="N27:P27"/>
    <mergeCell ref="C10:F10"/>
    <mergeCell ref="C14:F14"/>
    <mergeCell ref="J25:J26"/>
    <mergeCell ref="I25:I26"/>
    <mergeCell ref="B32:F32"/>
    <mergeCell ref="B29:F29"/>
    <mergeCell ref="B30:F30"/>
    <mergeCell ref="B31:F31"/>
    <mergeCell ref="B34:F34"/>
    <mergeCell ref="C9:F9"/>
    <mergeCell ref="B25:F26"/>
    <mergeCell ref="B35:F35"/>
    <mergeCell ref="B36:F36"/>
    <mergeCell ref="B33:F33"/>
    <mergeCell ref="N35:P35"/>
    <mergeCell ref="N36:P36"/>
    <mergeCell ref="N34:P34"/>
    <mergeCell ref="N29:P29"/>
    <mergeCell ref="N30:P30"/>
    <mergeCell ref="N31:P31"/>
    <mergeCell ref="N33:P33"/>
    <mergeCell ref="N32:P32"/>
    <mergeCell ref="A1:F1"/>
    <mergeCell ref="A5:B5"/>
    <mergeCell ref="C5:F5"/>
    <mergeCell ref="C6:F6"/>
    <mergeCell ref="A9:B9"/>
    <mergeCell ref="A6:B6"/>
    <mergeCell ref="A7:B7"/>
    <mergeCell ref="A8:B8"/>
    <mergeCell ref="C7:F7"/>
    <mergeCell ref="C8:F8"/>
  </mergeCells>
  <phoneticPr fontId="0" type="noConversion"/>
  <dataValidations xWindow="817" yWindow="445" count="7">
    <dataValidation type="list" allowBlank="1" showInputMessage="1" showErrorMessage="1" sqref="G18">
      <formula1>"Select,N/A,1,2,3,4,5,6,7,8,9,10,11,12,13,14,15,16,17,18,19,20"</formula1>
    </dataValidation>
    <dataValidation type="list" allowBlank="1" showInputMessage="1" showErrorMessage="1" sqref="G10:G11 C10:F10">
      <formula1>"Select,USD,EUR"</formula1>
    </dataValidation>
    <dataValidation type="list" allowBlank="1" showInputMessage="1" showErrorMessage="1" sqref="C6:G6">
      <formula1>"Select,Health Systems Strengthening,HIV/AIDS,HIV/TB,Integrated,Malaria,Tuberculosis"</formula1>
    </dataValidation>
    <dataValidation type="list" allowBlank="1" showInputMessage="1" showErrorMessage="1" sqref="D16">
      <formula1>"Select,Quarter,Semester,Annual,Other"</formula1>
    </dataValidation>
    <dataValidation type="list" allowBlank="1" showInputMessage="1" sqref="D12">
      <formula1>"Select,Quarter,Semester,Annual,Other (type)"</formula1>
    </dataValidation>
    <dataValidation type="list" errorStyle="information" allowBlank="1" showInputMessage="1" prompt="Please select the data source from the list below. You can also type in your own text." sqref="M27:M36">
      <formula1>$U$1:$U$10</formula1>
    </dataValidation>
    <dataValidation type="list" allowBlank="1" showInputMessage="1" showErrorMessage="1" sqref="A27:A36">
      <formula1>"Select, Impact, Outcome"</formula1>
    </dataValidation>
  </dataValidations>
  <printOptions horizontalCentered="1"/>
  <pageMargins left="0.74803149606299213" right="0.74803149606299213" top="0.59055118110236227" bottom="0.59055118110236227" header="0.51181102362204722" footer="0.51181102362204722"/>
  <pageSetup paperSize="9" scale="42" fitToHeight="0" orientation="landscape" cellComments="asDisplayed" r:id="rId2"/>
  <headerFooter alignWithMargins="0">
    <oddFooter>&amp;L&amp;9&amp;F&amp;C&amp;A&amp;R&amp;9Page &amp;P of &amp;N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0"/>
    <pageSetUpPr fitToPage="1"/>
  </sheetPr>
  <dimension ref="A1:IT76"/>
  <sheetViews>
    <sheetView showGridLines="0" view="pageBreakPreview" zoomScale="70" zoomScaleNormal="75" zoomScaleSheetLayoutView="70" workbookViewId="0">
      <selection activeCell="A37" sqref="A37:J40"/>
    </sheetView>
  </sheetViews>
  <sheetFormatPr defaultColWidth="0" defaultRowHeight="12.75" x14ac:dyDescent="0.2"/>
  <cols>
    <col min="1" max="1" width="3.85546875" style="692" customWidth="1"/>
    <col min="2" max="2" width="14.7109375" style="692" customWidth="1"/>
    <col min="3" max="3" width="33.140625" style="692" customWidth="1"/>
    <col min="4" max="4" width="27.5703125" style="692" customWidth="1"/>
    <col min="5" max="5" width="20.85546875" style="692" customWidth="1"/>
    <col min="6" max="6" width="18.5703125" style="692" customWidth="1"/>
    <col min="7" max="7" width="30.140625" style="843" customWidth="1"/>
    <col min="8" max="8" width="19.140625" style="723" customWidth="1"/>
    <col min="9" max="9" width="7" style="723" customWidth="1"/>
    <col min="10" max="10" width="86.5703125" style="723" customWidth="1"/>
    <col min="11" max="11" width="6.5703125" style="723" customWidth="1"/>
    <col min="12" max="22" width="9.140625" style="723" customWidth="1"/>
    <col min="23" max="255" width="9.140625" style="692" customWidth="1"/>
    <col min="256" max="16384" width="0" style="692" hidden="1"/>
  </cols>
  <sheetData>
    <row r="1" spans="1:254" s="723" customFormat="1" ht="25.5" customHeight="1" x14ac:dyDescent="0.35">
      <c r="A1" s="2161" t="s">
        <v>182</v>
      </c>
      <c r="B1" s="2161"/>
      <c r="C1" s="2161"/>
      <c r="D1" s="2161"/>
      <c r="E1" s="2161"/>
      <c r="F1" s="2161"/>
      <c r="G1" s="2161"/>
      <c r="H1" s="2161"/>
      <c r="I1" s="2161"/>
      <c r="J1" s="2161"/>
      <c r="K1" s="865"/>
      <c r="L1" s="865"/>
      <c r="M1" s="865"/>
      <c r="R1" s="849"/>
      <c r="S1" s="849"/>
      <c r="T1" s="849"/>
      <c r="U1" s="849"/>
      <c r="V1" s="849"/>
      <c r="W1" s="849"/>
      <c r="X1" s="849"/>
      <c r="Y1" s="849"/>
      <c r="Z1" s="849"/>
      <c r="AA1" s="849"/>
      <c r="AB1" s="849"/>
      <c r="AC1" s="849"/>
      <c r="AD1" s="849"/>
      <c r="AE1" s="849"/>
      <c r="AF1" s="849"/>
      <c r="AG1" s="849"/>
      <c r="AH1" s="849"/>
      <c r="AI1" s="849"/>
      <c r="AJ1" s="849"/>
      <c r="AK1" s="849"/>
      <c r="AL1" s="849"/>
      <c r="AM1" s="849"/>
      <c r="AN1" s="849"/>
      <c r="AO1" s="849"/>
      <c r="AP1" s="849"/>
      <c r="AQ1" s="849"/>
      <c r="AR1" s="849"/>
      <c r="AS1" s="849"/>
      <c r="AT1" s="849"/>
      <c r="AU1" s="849"/>
      <c r="AV1" s="849"/>
      <c r="AW1" s="849"/>
      <c r="AX1" s="849"/>
      <c r="AY1" s="849"/>
      <c r="AZ1" s="849"/>
      <c r="BA1" s="849"/>
      <c r="BB1" s="849"/>
      <c r="BC1" s="849"/>
      <c r="BD1" s="849"/>
      <c r="BE1" s="849"/>
      <c r="BF1" s="849"/>
      <c r="BG1" s="849"/>
      <c r="BH1" s="849"/>
      <c r="BI1" s="849"/>
      <c r="BJ1" s="849"/>
      <c r="BK1" s="849"/>
      <c r="BL1" s="849"/>
      <c r="BM1" s="849"/>
      <c r="BN1" s="849"/>
      <c r="BO1" s="849"/>
      <c r="BP1" s="849"/>
      <c r="BQ1" s="849"/>
      <c r="BR1" s="849"/>
      <c r="BS1" s="849"/>
      <c r="BT1" s="849"/>
      <c r="BU1" s="849"/>
      <c r="BV1" s="849"/>
      <c r="BW1" s="849"/>
      <c r="BX1" s="849"/>
      <c r="BY1" s="849"/>
      <c r="BZ1" s="849"/>
      <c r="CA1" s="849"/>
      <c r="CB1" s="849"/>
      <c r="CC1" s="849"/>
      <c r="CD1" s="849"/>
      <c r="CE1" s="849"/>
      <c r="CF1" s="849"/>
      <c r="CG1" s="849"/>
      <c r="CH1" s="849"/>
      <c r="CI1" s="849"/>
      <c r="CJ1" s="849"/>
      <c r="CK1" s="849"/>
      <c r="CL1" s="849"/>
      <c r="CM1" s="849"/>
      <c r="CN1" s="849"/>
      <c r="CO1" s="849"/>
      <c r="CP1" s="849"/>
      <c r="CQ1" s="849"/>
      <c r="CR1" s="849"/>
      <c r="CS1" s="849"/>
      <c r="CT1" s="849"/>
      <c r="CU1" s="849"/>
      <c r="CV1" s="849"/>
      <c r="CW1" s="849"/>
      <c r="CX1" s="849"/>
      <c r="CY1" s="849"/>
      <c r="CZ1" s="849"/>
      <c r="DA1" s="849"/>
      <c r="DB1" s="849"/>
      <c r="DC1" s="849"/>
      <c r="DD1" s="849"/>
      <c r="DE1" s="849"/>
      <c r="DF1" s="849"/>
      <c r="DG1" s="849"/>
      <c r="DH1" s="849"/>
      <c r="DI1" s="849"/>
      <c r="DJ1" s="849"/>
      <c r="DK1" s="849"/>
      <c r="DL1" s="849"/>
      <c r="DM1" s="849"/>
      <c r="DN1" s="849"/>
      <c r="DO1" s="849"/>
      <c r="DP1" s="849"/>
      <c r="DQ1" s="849"/>
      <c r="DR1" s="849"/>
      <c r="DS1" s="849"/>
      <c r="DT1" s="849"/>
      <c r="DU1" s="849"/>
      <c r="DV1" s="849"/>
      <c r="DW1" s="849"/>
      <c r="DX1" s="849"/>
      <c r="DY1" s="849"/>
      <c r="DZ1" s="849"/>
      <c r="EA1" s="849"/>
      <c r="EB1" s="849"/>
      <c r="EC1" s="849"/>
      <c r="ED1" s="849"/>
      <c r="EE1" s="849"/>
      <c r="EF1" s="849"/>
      <c r="EG1" s="849"/>
      <c r="EH1" s="849"/>
      <c r="EI1" s="849"/>
      <c r="EJ1" s="849"/>
      <c r="EK1" s="849"/>
      <c r="EL1" s="849"/>
      <c r="EM1" s="849"/>
      <c r="EN1" s="849"/>
      <c r="EO1" s="849"/>
      <c r="EP1" s="849"/>
      <c r="EQ1" s="849"/>
      <c r="ER1" s="849"/>
      <c r="ES1" s="849"/>
      <c r="ET1" s="849"/>
      <c r="EU1" s="849"/>
      <c r="EV1" s="849"/>
      <c r="EW1" s="849"/>
      <c r="EX1" s="849"/>
      <c r="EY1" s="849"/>
      <c r="EZ1" s="849"/>
      <c r="FA1" s="849"/>
      <c r="FB1" s="849"/>
      <c r="FC1" s="849"/>
      <c r="FD1" s="849"/>
      <c r="FE1" s="849"/>
      <c r="FF1" s="849"/>
      <c r="FG1" s="849"/>
      <c r="FH1" s="849"/>
      <c r="FI1" s="849"/>
      <c r="FJ1" s="849"/>
      <c r="FK1" s="849"/>
      <c r="FL1" s="849"/>
      <c r="FM1" s="849"/>
      <c r="FN1" s="849"/>
      <c r="FO1" s="849"/>
      <c r="FP1" s="849"/>
      <c r="FQ1" s="849"/>
      <c r="FR1" s="849"/>
      <c r="FS1" s="849"/>
      <c r="FT1" s="849"/>
      <c r="FU1" s="849"/>
      <c r="FV1" s="849"/>
      <c r="FW1" s="849"/>
      <c r="FX1" s="849"/>
      <c r="FY1" s="849"/>
      <c r="FZ1" s="849"/>
      <c r="GA1" s="849"/>
      <c r="GB1" s="849"/>
      <c r="GC1" s="849"/>
      <c r="GD1" s="849"/>
      <c r="GE1" s="849"/>
      <c r="GF1" s="849"/>
      <c r="GG1" s="849"/>
      <c r="GH1" s="849"/>
      <c r="GI1" s="849"/>
      <c r="GJ1" s="849"/>
      <c r="GK1" s="849"/>
      <c r="GL1" s="849"/>
      <c r="GM1" s="849"/>
      <c r="GN1" s="849"/>
      <c r="GO1" s="849"/>
      <c r="GP1" s="849"/>
      <c r="GQ1" s="849"/>
      <c r="GR1" s="849"/>
      <c r="GS1" s="849"/>
      <c r="GT1" s="849"/>
      <c r="GU1" s="849"/>
      <c r="GV1" s="849"/>
      <c r="GW1" s="849"/>
      <c r="GX1" s="849"/>
      <c r="GY1" s="849"/>
      <c r="GZ1" s="849"/>
      <c r="HA1" s="849"/>
      <c r="HB1" s="849"/>
      <c r="HC1" s="849"/>
      <c r="HD1" s="849"/>
      <c r="HE1" s="849"/>
      <c r="HF1" s="849"/>
      <c r="HG1" s="849"/>
      <c r="HH1" s="849"/>
      <c r="HI1" s="849"/>
      <c r="HJ1" s="849"/>
      <c r="HK1" s="849"/>
      <c r="HL1" s="849"/>
      <c r="HM1" s="849"/>
      <c r="HN1" s="849"/>
      <c r="HO1" s="849"/>
      <c r="HP1" s="849"/>
      <c r="HQ1" s="849"/>
      <c r="HR1" s="849"/>
      <c r="HS1" s="849"/>
      <c r="HT1" s="849"/>
      <c r="HU1" s="849"/>
      <c r="HV1" s="849"/>
      <c r="HW1" s="849"/>
      <c r="HX1" s="849"/>
      <c r="HY1" s="849"/>
      <c r="HZ1" s="849"/>
      <c r="IA1" s="849"/>
      <c r="IB1" s="849"/>
      <c r="IC1" s="849"/>
      <c r="ID1" s="849"/>
      <c r="IE1" s="849"/>
      <c r="IF1" s="849"/>
      <c r="IG1" s="849"/>
      <c r="IH1" s="849"/>
      <c r="II1" s="849"/>
      <c r="IJ1" s="849"/>
      <c r="IK1" s="849"/>
      <c r="IL1" s="849"/>
      <c r="IM1" s="849"/>
      <c r="IN1" s="849"/>
      <c r="IO1" s="849"/>
      <c r="IP1" s="849"/>
      <c r="IQ1" s="849"/>
      <c r="IR1" s="849"/>
      <c r="IS1" s="849"/>
      <c r="IT1" s="849"/>
    </row>
    <row r="2" spans="1:254" s="723" customFormat="1" ht="14.25" customHeight="1" thickBot="1" x14ac:dyDescent="0.35">
      <c r="A2" s="69"/>
      <c r="B2" s="69"/>
      <c r="C2" s="69"/>
      <c r="D2" s="69"/>
      <c r="E2" s="69"/>
      <c r="F2" s="69"/>
      <c r="G2" s="69"/>
      <c r="H2" s="78"/>
      <c r="I2" s="866"/>
      <c r="J2" s="69"/>
      <c r="K2" s="865"/>
      <c r="L2" s="865"/>
      <c r="M2" s="865"/>
      <c r="R2" s="849"/>
      <c r="S2" s="849"/>
      <c r="T2" s="849"/>
      <c r="U2" s="849"/>
      <c r="V2" s="849"/>
      <c r="W2" s="849"/>
      <c r="X2" s="849"/>
      <c r="Y2" s="849"/>
      <c r="Z2" s="849"/>
      <c r="AA2" s="849"/>
      <c r="AB2" s="849"/>
      <c r="AC2" s="849"/>
      <c r="AD2" s="849"/>
      <c r="AE2" s="849"/>
      <c r="AF2" s="849"/>
      <c r="AG2" s="849"/>
      <c r="AH2" s="849"/>
      <c r="AI2" s="849"/>
      <c r="AJ2" s="849"/>
      <c r="AK2" s="849"/>
      <c r="AL2" s="849"/>
      <c r="AM2" s="849"/>
      <c r="AN2" s="849"/>
      <c r="AO2" s="849"/>
      <c r="AP2" s="849"/>
      <c r="AQ2" s="849"/>
      <c r="AR2" s="849"/>
      <c r="AS2" s="849"/>
      <c r="AT2" s="849"/>
      <c r="AU2" s="849"/>
      <c r="AV2" s="849"/>
      <c r="AW2" s="849"/>
      <c r="AX2" s="849"/>
      <c r="AY2" s="849"/>
      <c r="AZ2" s="849"/>
      <c r="BA2" s="849"/>
      <c r="BB2" s="849"/>
      <c r="BC2" s="849"/>
      <c r="BD2" s="849"/>
      <c r="BE2" s="849"/>
      <c r="BF2" s="849"/>
      <c r="BG2" s="849"/>
      <c r="BH2" s="849"/>
      <c r="BI2" s="849"/>
      <c r="BJ2" s="849"/>
      <c r="BK2" s="849"/>
      <c r="BL2" s="849"/>
      <c r="BM2" s="849"/>
      <c r="BN2" s="849"/>
      <c r="BO2" s="849"/>
      <c r="BP2" s="849"/>
      <c r="BQ2" s="849"/>
      <c r="BR2" s="849"/>
      <c r="BS2" s="849"/>
      <c r="BT2" s="849"/>
      <c r="BU2" s="849"/>
      <c r="BV2" s="849"/>
      <c r="BW2" s="849"/>
      <c r="BX2" s="849"/>
      <c r="BY2" s="849"/>
      <c r="BZ2" s="849"/>
      <c r="CA2" s="849"/>
      <c r="CB2" s="849"/>
      <c r="CC2" s="849"/>
      <c r="CD2" s="849"/>
      <c r="CE2" s="849"/>
      <c r="CF2" s="849"/>
      <c r="CG2" s="849"/>
      <c r="CH2" s="849"/>
      <c r="CI2" s="849"/>
      <c r="CJ2" s="849"/>
      <c r="CK2" s="849"/>
      <c r="CL2" s="849"/>
      <c r="CM2" s="849"/>
      <c r="CN2" s="849"/>
      <c r="CO2" s="849"/>
      <c r="CP2" s="849"/>
      <c r="CQ2" s="849"/>
      <c r="CR2" s="849"/>
      <c r="CS2" s="849"/>
      <c r="CT2" s="849"/>
      <c r="CU2" s="849"/>
      <c r="CV2" s="849"/>
      <c r="CW2" s="849"/>
      <c r="CX2" s="849"/>
      <c r="CY2" s="849"/>
      <c r="CZ2" s="849"/>
      <c r="DA2" s="849"/>
      <c r="DB2" s="849"/>
      <c r="DC2" s="849"/>
      <c r="DD2" s="849"/>
      <c r="DE2" s="849"/>
      <c r="DF2" s="849"/>
      <c r="DG2" s="849"/>
      <c r="DH2" s="849"/>
      <c r="DI2" s="849"/>
      <c r="DJ2" s="849"/>
      <c r="DK2" s="849"/>
      <c r="DL2" s="849"/>
      <c r="DM2" s="849"/>
      <c r="DN2" s="849"/>
      <c r="DO2" s="849"/>
      <c r="DP2" s="849"/>
      <c r="DQ2" s="849"/>
      <c r="DR2" s="849"/>
      <c r="DS2" s="849"/>
      <c r="DT2" s="849"/>
      <c r="DU2" s="849"/>
      <c r="DV2" s="849"/>
      <c r="DW2" s="849"/>
      <c r="DX2" s="849"/>
      <c r="DY2" s="849"/>
      <c r="DZ2" s="849"/>
      <c r="EA2" s="849"/>
      <c r="EB2" s="849"/>
      <c r="EC2" s="849"/>
      <c r="ED2" s="849"/>
      <c r="EE2" s="849"/>
      <c r="EF2" s="849"/>
      <c r="EG2" s="849"/>
      <c r="EH2" s="849"/>
      <c r="EI2" s="849"/>
      <c r="EJ2" s="849"/>
      <c r="EK2" s="849"/>
      <c r="EL2" s="849"/>
      <c r="EM2" s="849"/>
      <c r="EN2" s="849"/>
      <c r="EO2" s="849"/>
      <c r="EP2" s="849"/>
      <c r="EQ2" s="849"/>
      <c r="ER2" s="849"/>
      <c r="ES2" s="849"/>
      <c r="ET2" s="849"/>
      <c r="EU2" s="849"/>
      <c r="EV2" s="849"/>
      <c r="EW2" s="849"/>
      <c r="EX2" s="849"/>
      <c r="EY2" s="849"/>
      <c r="EZ2" s="849"/>
      <c r="FA2" s="849"/>
      <c r="FB2" s="849"/>
      <c r="FC2" s="849"/>
      <c r="FD2" s="849"/>
      <c r="FE2" s="849"/>
      <c r="FF2" s="849"/>
      <c r="FG2" s="849"/>
      <c r="FH2" s="849"/>
      <c r="FI2" s="849"/>
      <c r="FJ2" s="849"/>
      <c r="FK2" s="849"/>
      <c r="FL2" s="849"/>
      <c r="FM2" s="849"/>
      <c r="FN2" s="849"/>
      <c r="FO2" s="849"/>
      <c r="FP2" s="849"/>
      <c r="FQ2" s="849"/>
      <c r="FR2" s="849"/>
      <c r="FS2" s="849"/>
      <c r="FT2" s="849"/>
      <c r="FU2" s="849"/>
      <c r="FV2" s="849"/>
      <c r="FW2" s="849"/>
      <c r="FX2" s="849"/>
      <c r="FY2" s="849"/>
      <c r="FZ2" s="849"/>
      <c r="GA2" s="849"/>
      <c r="GB2" s="849"/>
      <c r="GC2" s="849"/>
      <c r="GD2" s="849"/>
      <c r="GE2" s="849"/>
      <c r="GF2" s="849"/>
      <c r="GG2" s="849"/>
      <c r="GH2" s="849"/>
      <c r="GI2" s="849"/>
      <c r="GJ2" s="849"/>
      <c r="GK2" s="849"/>
      <c r="GL2" s="849"/>
      <c r="GM2" s="849"/>
      <c r="GN2" s="849"/>
      <c r="GO2" s="849"/>
      <c r="GP2" s="849"/>
      <c r="GQ2" s="849"/>
      <c r="GR2" s="849"/>
      <c r="GS2" s="849"/>
      <c r="GT2" s="849"/>
      <c r="GU2" s="849"/>
      <c r="GV2" s="849"/>
      <c r="GW2" s="849"/>
      <c r="GX2" s="849"/>
      <c r="GY2" s="849"/>
      <c r="GZ2" s="849"/>
      <c r="HA2" s="849"/>
      <c r="HB2" s="849"/>
      <c r="HC2" s="849"/>
      <c r="HD2" s="849"/>
      <c r="HE2" s="849"/>
      <c r="HF2" s="849"/>
      <c r="HG2" s="849"/>
      <c r="HH2" s="849"/>
      <c r="HI2" s="849"/>
      <c r="HJ2" s="849"/>
      <c r="HK2" s="849"/>
      <c r="HL2" s="849"/>
      <c r="HM2" s="849"/>
      <c r="HN2" s="849"/>
      <c r="HO2" s="849"/>
      <c r="HP2" s="849"/>
      <c r="HQ2" s="849"/>
      <c r="HR2" s="849"/>
      <c r="HS2" s="849"/>
      <c r="HT2" s="849"/>
      <c r="HU2" s="849"/>
      <c r="HV2" s="849"/>
      <c r="HW2" s="849"/>
      <c r="HX2" s="849"/>
      <c r="HY2" s="849"/>
      <c r="HZ2" s="849"/>
      <c r="IA2" s="849"/>
      <c r="IB2" s="849"/>
      <c r="IC2" s="849"/>
      <c r="ID2" s="849"/>
      <c r="IE2" s="849"/>
      <c r="IF2" s="849"/>
      <c r="IG2" s="849"/>
      <c r="IH2" s="849"/>
      <c r="II2" s="849"/>
      <c r="IJ2" s="849"/>
      <c r="IK2" s="849"/>
      <c r="IL2" s="849"/>
      <c r="IM2" s="849"/>
      <c r="IN2" s="849"/>
      <c r="IO2" s="849"/>
      <c r="IP2" s="849"/>
      <c r="IQ2" s="849"/>
      <c r="IR2" s="849"/>
      <c r="IS2" s="849"/>
      <c r="IT2" s="849"/>
    </row>
    <row r="3" spans="1:254" s="857" customFormat="1" ht="15" customHeight="1" thickBot="1" x14ac:dyDescent="0.25">
      <c r="A3" s="2194" t="s">
        <v>488</v>
      </c>
      <c r="B3" s="2446"/>
      <c r="C3" s="2195"/>
      <c r="D3" s="2447" t="str">
        <f>IF('LFA_Programmatic Progress_1A'!C3=0,"",'LFA_Programmatic Progress_1A'!C3)</f>
        <v>UNOPS/LFA-BHUTAN</v>
      </c>
      <c r="E3" s="2448"/>
      <c r="F3" s="2448"/>
      <c r="G3" s="2449"/>
      <c r="H3" s="859"/>
      <c r="I3" s="63"/>
      <c r="J3" s="63"/>
      <c r="K3" s="864"/>
      <c r="L3" s="858"/>
      <c r="M3" s="858"/>
      <c r="N3" s="858"/>
      <c r="O3" s="858"/>
      <c r="P3" s="858"/>
      <c r="Q3" s="858"/>
      <c r="R3" s="849"/>
      <c r="S3" s="849"/>
      <c r="T3" s="849"/>
      <c r="U3" s="849"/>
      <c r="V3" s="849"/>
      <c r="W3" s="849"/>
      <c r="X3" s="849"/>
      <c r="Y3" s="849"/>
      <c r="Z3" s="849"/>
      <c r="AA3" s="849"/>
      <c r="AB3" s="849"/>
      <c r="AC3" s="849"/>
      <c r="AD3" s="849"/>
      <c r="AE3" s="849"/>
      <c r="AF3" s="849"/>
      <c r="AG3" s="849"/>
      <c r="AH3" s="849"/>
      <c r="AI3" s="849"/>
      <c r="AJ3" s="849"/>
      <c r="AK3" s="849"/>
      <c r="AL3" s="849"/>
      <c r="AM3" s="849"/>
      <c r="AN3" s="849"/>
      <c r="AO3" s="849"/>
      <c r="AP3" s="849"/>
      <c r="AQ3" s="849"/>
      <c r="AR3" s="849"/>
      <c r="AS3" s="849"/>
      <c r="AT3" s="849"/>
      <c r="AU3" s="849"/>
      <c r="AV3" s="849"/>
      <c r="AW3" s="849"/>
      <c r="AX3" s="849"/>
      <c r="AY3" s="849"/>
      <c r="AZ3" s="849"/>
      <c r="BA3" s="849"/>
      <c r="BB3" s="849"/>
      <c r="BC3" s="849"/>
      <c r="BD3" s="849"/>
      <c r="BE3" s="849"/>
      <c r="BF3" s="849"/>
      <c r="BG3" s="849"/>
      <c r="BH3" s="849"/>
      <c r="BI3" s="849"/>
      <c r="BJ3" s="849"/>
      <c r="BK3" s="849"/>
      <c r="BL3" s="849"/>
      <c r="BM3" s="849"/>
      <c r="BN3" s="849"/>
      <c r="BO3" s="849"/>
      <c r="BP3" s="849"/>
      <c r="BQ3" s="849"/>
      <c r="BR3" s="849"/>
      <c r="BS3" s="849"/>
      <c r="BT3" s="849"/>
      <c r="BU3" s="849"/>
      <c r="BV3" s="849"/>
      <c r="BW3" s="849"/>
      <c r="BX3" s="849"/>
      <c r="BY3" s="849"/>
      <c r="BZ3" s="849"/>
      <c r="CA3" s="849"/>
      <c r="CB3" s="849"/>
      <c r="CC3" s="849"/>
      <c r="CD3" s="849"/>
      <c r="CE3" s="849"/>
      <c r="CF3" s="849"/>
      <c r="CG3" s="849"/>
      <c r="CH3" s="849"/>
      <c r="CI3" s="849"/>
      <c r="CJ3" s="849"/>
      <c r="CK3" s="849"/>
      <c r="CL3" s="849"/>
      <c r="CM3" s="849"/>
      <c r="CN3" s="849"/>
      <c r="CO3" s="849"/>
      <c r="CP3" s="849"/>
      <c r="CQ3" s="849"/>
      <c r="CR3" s="849"/>
      <c r="CS3" s="849"/>
      <c r="CT3" s="849"/>
      <c r="CU3" s="849"/>
      <c r="CV3" s="849"/>
      <c r="CW3" s="849"/>
      <c r="CX3" s="849"/>
      <c r="CY3" s="849"/>
      <c r="CZ3" s="849"/>
      <c r="DA3" s="849"/>
      <c r="DB3" s="849"/>
      <c r="DC3" s="849"/>
      <c r="DD3" s="849"/>
      <c r="DE3" s="849"/>
      <c r="DF3" s="849"/>
      <c r="DG3" s="849"/>
      <c r="DH3" s="849"/>
      <c r="DI3" s="849"/>
      <c r="DJ3" s="849"/>
      <c r="DK3" s="849"/>
      <c r="DL3" s="849"/>
      <c r="DM3" s="849"/>
      <c r="DN3" s="849"/>
      <c r="DO3" s="849"/>
      <c r="DP3" s="849"/>
      <c r="DQ3" s="849"/>
      <c r="DR3" s="849"/>
      <c r="DS3" s="849"/>
      <c r="DT3" s="849"/>
      <c r="DU3" s="849"/>
      <c r="DV3" s="849"/>
      <c r="DW3" s="849"/>
      <c r="DX3" s="849"/>
      <c r="DY3" s="849"/>
      <c r="DZ3" s="849"/>
      <c r="EA3" s="849"/>
      <c r="EB3" s="849"/>
      <c r="EC3" s="849"/>
      <c r="ED3" s="849"/>
      <c r="EE3" s="849"/>
      <c r="EF3" s="849"/>
      <c r="EG3" s="849"/>
      <c r="EH3" s="849"/>
      <c r="EI3" s="849"/>
      <c r="EJ3" s="849"/>
      <c r="EK3" s="849"/>
      <c r="EL3" s="849"/>
      <c r="EM3" s="849"/>
      <c r="EN3" s="849"/>
      <c r="EO3" s="849"/>
      <c r="EP3" s="849"/>
      <c r="EQ3" s="849"/>
      <c r="ER3" s="849"/>
      <c r="ES3" s="849"/>
      <c r="ET3" s="849"/>
      <c r="EU3" s="849"/>
      <c r="EV3" s="849"/>
      <c r="EW3" s="849"/>
      <c r="EX3" s="849"/>
      <c r="EY3" s="849"/>
      <c r="EZ3" s="849"/>
      <c r="FA3" s="849"/>
      <c r="FB3" s="849"/>
      <c r="FC3" s="849"/>
      <c r="FD3" s="849"/>
      <c r="FE3" s="849"/>
      <c r="FF3" s="849"/>
      <c r="FG3" s="849"/>
      <c r="FH3" s="849"/>
      <c r="FI3" s="849"/>
      <c r="FJ3" s="849"/>
      <c r="FK3" s="849"/>
      <c r="FL3" s="849"/>
      <c r="FM3" s="849"/>
      <c r="FN3" s="849"/>
      <c r="FO3" s="849"/>
      <c r="FP3" s="849"/>
      <c r="FQ3" s="849"/>
      <c r="FR3" s="849"/>
      <c r="FS3" s="849"/>
      <c r="FT3" s="849"/>
      <c r="FU3" s="849"/>
      <c r="FV3" s="849"/>
      <c r="FW3" s="849"/>
      <c r="FX3" s="849"/>
      <c r="FY3" s="849"/>
      <c r="FZ3" s="849"/>
      <c r="GA3" s="849"/>
      <c r="GB3" s="849"/>
      <c r="GC3" s="849"/>
      <c r="GD3" s="849"/>
      <c r="GE3" s="849"/>
      <c r="GF3" s="849"/>
      <c r="GG3" s="849"/>
      <c r="GH3" s="849"/>
      <c r="GI3" s="849"/>
      <c r="GJ3" s="849"/>
      <c r="GK3" s="849"/>
      <c r="GL3" s="849"/>
      <c r="GM3" s="849"/>
      <c r="GN3" s="849"/>
      <c r="GO3" s="849"/>
      <c r="GP3" s="849"/>
      <c r="GQ3" s="849"/>
      <c r="GR3" s="849"/>
      <c r="GS3" s="849"/>
      <c r="GT3" s="849"/>
      <c r="GU3" s="849"/>
      <c r="GV3" s="849"/>
      <c r="GW3" s="849"/>
      <c r="GX3" s="849"/>
      <c r="GY3" s="849"/>
      <c r="GZ3" s="849"/>
      <c r="HA3" s="849"/>
      <c r="HB3" s="849"/>
      <c r="HC3" s="849"/>
      <c r="HD3" s="849"/>
      <c r="HE3" s="849"/>
      <c r="HF3" s="849"/>
      <c r="HG3" s="849"/>
      <c r="HH3" s="849"/>
      <c r="HI3" s="849"/>
      <c r="HJ3" s="849"/>
      <c r="HK3" s="849"/>
      <c r="HL3" s="849"/>
      <c r="HM3" s="849"/>
      <c r="HN3" s="849"/>
      <c r="HO3" s="849"/>
      <c r="HP3" s="849"/>
      <c r="HQ3" s="849"/>
      <c r="HR3" s="849"/>
      <c r="HS3" s="849"/>
      <c r="HT3" s="849"/>
      <c r="HU3" s="849"/>
      <c r="HV3" s="849"/>
      <c r="HW3" s="849"/>
      <c r="HX3" s="849"/>
      <c r="HY3" s="849"/>
      <c r="HZ3" s="849"/>
      <c r="IA3" s="849"/>
      <c r="IB3" s="849"/>
      <c r="IC3" s="849"/>
      <c r="ID3" s="849"/>
      <c r="IE3" s="849"/>
      <c r="IF3" s="849"/>
      <c r="IG3" s="849"/>
      <c r="IH3" s="849"/>
      <c r="II3" s="849"/>
      <c r="IJ3" s="849"/>
      <c r="IK3" s="849"/>
      <c r="IL3" s="849"/>
      <c r="IM3" s="849"/>
      <c r="IN3" s="849"/>
      <c r="IO3" s="849"/>
      <c r="IP3" s="849"/>
      <c r="IQ3" s="849"/>
      <c r="IR3" s="849"/>
      <c r="IS3" s="849"/>
      <c r="IT3" s="849"/>
    </row>
    <row r="4" spans="1:254" s="857" customFormat="1" ht="27.75" customHeight="1" thickBot="1" x14ac:dyDescent="0.3">
      <c r="A4" s="99" t="s">
        <v>503</v>
      </c>
      <c r="B4" s="861"/>
      <c r="C4" s="861"/>
      <c r="D4" s="1012"/>
      <c r="E4" s="1012"/>
      <c r="F4" s="1012"/>
      <c r="G4" s="1012"/>
      <c r="H4" s="861"/>
      <c r="I4" s="861"/>
      <c r="J4" s="861"/>
      <c r="K4" s="723"/>
      <c r="L4" s="723"/>
      <c r="M4" s="723"/>
      <c r="N4" s="723"/>
      <c r="O4" s="723"/>
      <c r="P4" s="723"/>
      <c r="Q4" s="723"/>
      <c r="R4" s="723"/>
      <c r="S4" s="723"/>
      <c r="T4" s="723"/>
      <c r="U4" s="723"/>
      <c r="V4" s="723"/>
      <c r="W4" s="723"/>
      <c r="X4" s="723"/>
      <c r="Y4" s="723"/>
      <c r="Z4" s="723"/>
      <c r="AA4" s="723"/>
      <c r="AB4" s="723"/>
      <c r="AC4" s="723"/>
      <c r="AD4" s="723"/>
      <c r="AE4" s="723"/>
      <c r="AF4" s="723"/>
      <c r="AG4" s="723"/>
      <c r="AH4" s="723"/>
      <c r="AI4" s="723"/>
      <c r="AJ4" s="723"/>
      <c r="AK4" s="723"/>
      <c r="AL4" s="723"/>
      <c r="AM4" s="723"/>
      <c r="AN4" s="723"/>
      <c r="AO4" s="723"/>
      <c r="AP4" s="723"/>
      <c r="AQ4" s="723"/>
      <c r="AR4" s="723"/>
      <c r="AS4" s="723"/>
      <c r="AT4" s="723"/>
      <c r="AU4" s="723"/>
      <c r="AV4" s="723"/>
      <c r="AW4" s="723"/>
      <c r="AX4" s="723"/>
      <c r="AY4" s="723"/>
      <c r="AZ4" s="723"/>
      <c r="BA4" s="723"/>
      <c r="BB4" s="723"/>
      <c r="BC4" s="723"/>
      <c r="BD4" s="723"/>
      <c r="BE4" s="723"/>
      <c r="BF4" s="723"/>
      <c r="BG4" s="723"/>
      <c r="BH4" s="723"/>
      <c r="BI4" s="723"/>
      <c r="BJ4" s="723"/>
      <c r="BK4" s="723"/>
      <c r="BL4" s="723"/>
      <c r="BM4" s="723"/>
      <c r="BN4" s="723"/>
      <c r="BO4" s="723"/>
      <c r="BP4" s="723"/>
      <c r="BQ4" s="723"/>
      <c r="BR4" s="723"/>
      <c r="BS4" s="723"/>
      <c r="BT4" s="723"/>
      <c r="BU4" s="723"/>
      <c r="BV4" s="723"/>
      <c r="BW4" s="723"/>
      <c r="BX4" s="723"/>
      <c r="BY4" s="723"/>
      <c r="BZ4" s="723"/>
      <c r="CA4" s="723"/>
      <c r="CB4" s="723"/>
      <c r="CC4" s="723"/>
      <c r="CD4" s="723"/>
      <c r="CE4" s="723"/>
      <c r="CF4" s="723"/>
      <c r="CG4" s="723"/>
      <c r="CH4" s="723"/>
      <c r="CI4" s="723"/>
      <c r="CJ4" s="723"/>
      <c r="CK4" s="723"/>
      <c r="CL4" s="723"/>
      <c r="CM4" s="723"/>
      <c r="CN4" s="723"/>
      <c r="CO4" s="723"/>
      <c r="CP4" s="723"/>
      <c r="CQ4" s="723"/>
      <c r="CR4" s="723"/>
      <c r="CS4" s="723"/>
      <c r="CT4" s="723"/>
      <c r="CU4" s="723"/>
      <c r="CV4" s="723"/>
      <c r="CW4" s="723"/>
      <c r="CX4" s="723"/>
      <c r="CY4" s="723"/>
      <c r="CZ4" s="723"/>
      <c r="DA4" s="723"/>
      <c r="DB4" s="723"/>
      <c r="DC4" s="723"/>
      <c r="DD4" s="723"/>
      <c r="DE4" s="723"/>
      <c r="DF4" s="723"/>
      <c r="DG4" s="723"/>
      <c r="DH4" s="723"/>
      <c r="DI4" s="723"/>
      <c r="DJ4" s="723"/>
      <c r="DK4" s="723"/>
      <c r="DL4" s="723"/>
      <c r="DM4" s="723"/>
      <c r="DN4" s="723"/>
      <c r="DO4" s="723"/>
      <c r="DP4" s="723"/>
      <c r="DQ4" s="723"/>
      <c r="DR4" s="723"/>
      <c r="DS4" s="723"/>
      <c r="DT4" s="723"/>
      <c r="DU4" s="723"/>
      <c r="DV4" s="723"/>
      <c r="DW4" s="723"/>
      <c r="DX4" s="723"/>
      <c r="DY4" s="723"/>
      <c r="DZ4" s="723"/>
      <c r="EA4" s="723"/>
      <c r="EB4" s="723"/>
      <c r="EC4" s="723"/>
      <c r="ED4" s="723"/>
      <c r="EE4" s="723"/>
      <c r="EF4" s="723"/>
      <c r="EG4" s="723"/>
      <c r="EH4" s="723"/>
      <c r="EI4" s="723"/>
      <c r="EJ4" s="723"/>
      <c r="EK4" s="723"/>
      <c r="EL4" s="723"/>
      <c r="EM4" s="723"/>
      <c r="EN4" s="723"/>
      <c r="EO4" s="723"/>
      <c r="EP4" s="723"/>
      <c r="EQ4" s="723"/>
      <c r="ER4" s="723"/>
      <c r="ES4" s="723"/>
      <c r="ET4" s="723"/>
      <c r="EU4" s="723"/>
      <c r="EV4" s="723"/>
      <c r="EW4" s="723"/>
      <c r="EX4" s="723"/>
      <c r="EY4" s="723"/>
      <c r="EZ4" s="723"/>
      <c r="FA4" s="723"/>
      <c r="FB4" s="723"/>
      <c r="FC4" s="723"/>
      <c r="FD4" s="723"/>
      <c r="FE4" s="723"/>
      <c r="FF4" s="723"/>
      <c r="FG4" s="723"/>
      <c r="FH4" s="723"/>
      <c r="FI4" s="723"/>
      <c r="FJ4" s="723"/>
      <c r="FK4" s="723"/>
      <c r="FL4" s="723"/>
      <c r="FM4" s="723"/>
      <c r="FN4" s="723"/>
      <c r="FO4" s="723"/>
      <c r="FP4" s="723"/>
      <c r="FQ4" s="723"/>
      <c r="FR4" s="723"/>
      <c r="FS4" s="723"/>
      <c r="FT4" s="723"/>
      <c r="FU4" s="723"/>
      <c r="FV4" s="723"/>
      <c r="FW4" s="723"/>
      <c r="FX4" s="723"/>
      <c r="FY4" s="723"/>
      <c r="FZ4" s="723"/>
      <c r="GA4" s="723"/>
      <c r="GB4" s="723"/>
      <c r="GC4" s="723"/>
      <c r="GD4" s="723"/>
      <c r="GE4" s="723"/>
      <c r="GF4" s="723"/>
      <c r="GG4" s="723"/>
      <c r="GH4" s="723"/>
      <c r="GI4" s="723"/>
      <c r="GJ4" s="723"/>
      <c r="GK4" s="723"/>
      <c r="GL4" s="723"/>
      <c r="GM4" s="723"/>
      <c r="GN4" s="723"/>
      <c r="GO4" s="723"/>
      <c r="GP4" s="723"/>
      <c r="GQ4" s="723"/>
      <c r="GR4" s="723"/>
      <c r="GS4" s="723"/>
      <c r="GT4" s="723"/>
      <c r="GU4" s="723"/>
      <c r="GV4" s="723"/>
      <c r="GW4" s="723"/>
      <c r="GX4" s="723"/>
      <c r="GY4" s="723"/>
      <c r="GZ4" s="723"/>
      <c r="HA4" s="723"/>
      <c r="HB4" s="723"/>
      <c r="HC4" s="723"/>
      <c r="HD4" s="723"/>
      <c r="HE4" s="723"/>
      <c r="HF4" s="723"/>
      <c r="HG4" s="723"/>
      <c r="HH4" s="723"/>
      <c r="HI4" s="723"/>
      <c r="HJ4" s="723"/>
      <c r="HK4" s="723"/>
      <c r="HL4" s="723"/>
      <c r="HM4" s="723"/>
      <c r="HN4" s="723"/>
      <c r="HO4" s="723"/>
      <c r="HP4" s="723"/>
      <c r="HQ4" s="723"/>
      <c r="HR4" s="723"/>
      <c r="HS4" s="723"/>
      <c r="HT4" s="723"/>
      <c r="HU4" s="723"/>
      <c r="HV4" s="723"/>
      <c r="HW4" s="723"/>
      <c r="HX4" s="723"/>
      <c r="HY4" s="723"/>
      <c r="HZ4" s="723"/>
      <c r="IA4" s="723"/>
      <c r="IB4" s="723"/>
      <c r="IC4" s="723"/>
      <c r="ID4" s="723"/>
      <c r="IE4" s="723"/>
      <c r="IF4" s="723"/>
      <c r="IG4" s="723"/>
      <c r="IH4" s="723"/>
      <c r="II4" s="723"/>
      <c r="IJ4" s="723"/>
      <c r="IK4" s="723"/>
      <c r="IL4" s="723"/>
      <c r="IM4" s="723"/>
      <c r="IN4" s="723"/>
      <c r="IO4" s="723"/>
      <c r="IP4" s="723"/>
      <c r="IQ4" s="723"/>
      <c r="IR4" s="723"/>
    </row>
    <row r="5" spans="1:254" s="857" customFormat="1" ht="15" customHeight="1" x14ac:dyDescent="0.2">
      <c r="A5" s="1742" t="s">
        <v>417</v>
      </c>
      <c r="B5" s="1801"/>
      <c r="C5" s="1743"/>
      <c r="D5" s="2450" t="str">
        <f>IF('PR_Programmatic Progress_1A'!C5="","",'PR_Programmatic Progress_1A'!C5)</f>
        <v>Bhutan</v>
      </c>
      <c r="E5" s="2451"/>
      <c r="F5" s="2451"/>
      <c r="G5" s="2452"/>
      <c r="H5" s="859"/>
      <c r="I5" s="63"/>
      <c r="J5" s="63"/>
      <c r="K5" s="864"/>
      <c r="L5" s="858"/>
      <c r="M5" s="858"/>
      <c r="N5" s="858"/>
      <c r="O5" s="858"/>
      <c r="P5" s="858"/>
      <c r="Q5" s="858"/>
      <c r="R5" s="849"/>
      <c r="S5" s="849"/>
      <c r="T5" s="849"/>
      <c r="U5" s="849"/>
      <c r="V5" s="849"/>
      <c r="W5" s="849"/>
      <c r="X5" s="849"/>
      <c r="Y5" s="849"/>
      <c r="Z5" s="849"/>
      <c r="AA5" s="849"/>
      <c r="AB5" s="849"/>
      <c r="AC5" s="849"/>
      <c r="AD5" s="849"/>
      <c r="AE5" s="849"/>
      <c r="AF5" s="849"/>
      <c r="AG5" s="849"/>
      <c r="AH5" s="849"/>
      <c r="AI5" s="849"/>
      <c r="AJ5" s="849"/>
      <c r="AK5" s="849"/>
      <c r="AL5" s="849"/>
      <c r="AM5" s="849"/>
      <c r="AN5" s="849"/>
      <c r="AO5" s="849"/>
      <c r="AP5" s="849"/>
      <c r="AQ5" s="849"/>
      <c r="AR5" s="849"/>
      <c r="AS5" s="849"/>
      <c r="AT5" s="849"/>
      <c r="AU5" s="849"/>
      <c r="AV5" s="849"/>
      <c r="AW5" s="849"/>
      <c r="AX5" s="849"/>
      <c r="AY5" s="849"/>
      <c r="AZ5" s="849"/>
      <c r="BA5" s="849"/>
      <c r="BB5" s="849"/>
      <c r="BC5" s="849"/>
      <c r="BD5" s="849"/>
      <c r="BE5" s="849"/>
      <c r="BF5" s="849"/>
      <c r="BG5" s="849"/>
      <c r="BH5" s="849"/>
      <c r="BI5" s="849"/>
      <c r="BJ5" s="849"/>
      <c r="BK5" s="849"/>
      <c r="BL5" s="849"/>
      <c r="BM5" s="849"/>
      <c r="BN5" s="849"/>
      <c r="BO5" s="849"/>
      <c r="BP5" s="849"/>
      <c r="BQ5" s="849"/>
      <c r="BR5" s="849"/>
      <c r="BS5" s="849"/>
      <c r="BT5" s="849"/>
      <c r="BU5" s="849"/>
      <c r="BV5" s="849"/>
      <c r="BW5" s="849"/>
      <c r="BX5" s="849"/>
      <c r="BY5" s="849"/>
      <c r="BZ5" s="849"/>
      <c r="CA5" s="849"/>
      <c r="CB5" s="849"/>
      <c r="CC5" s="849"/>
      <c r="CD5" s="849"/>
      <c r="CE5" s="849"/>
      <c r="CF5" s="849"/>
      <c r="CG5" s="849"/>
      <c r="CH5" s="849"/>
      <c r="CI5" s="849"/>
      <c r="CJ5" s="849"/>
      <c r="CK5" s="849"/>
      <c r="CL5" s="849"/>
      <c r="CM5" s="849"/>
      <c r="CN5" s="849"/>
      <c r="CO5" s="849"/>
      <c r="CP5" s="849"/>
      <c r="CQ5" s="849"/>
      <c r="CR5" s="849"/>
      <c r="CS5" s="849"/>
      <c r="CT5" s="849"/>
      <c r="CU5" s="849"/>
      <c r="CV5" s="849"/>
      <c r="CW5" s="849"/>
      <c r="CX5" s="849"/>
      <c r="CY5" s="849"/>
      <c r="CZ5" s="849"/>
      <c r="DA5" s="849"/>
      <c r="DB5" s="849"/>
      <c r="DC5" s="849"/>
      <c r="DD5" s="849"/>
      <c r="DE5" s="849"/>
      <c r="DF5" s="849"/>
      <c r="DG5" s="849"/>
      <c r="DH5" s="849"/>
      <c r="DI5" s="849"/>
      <c r="DJ5" s="849"/>
      <c r="DK5" s="849"/>
      <c r="DL5" s="849"/>
      <c r="DM5" s="849"/>
      <c r="DN5" s="849"/>
      <c r="DO5" s="849"/>
      <c r="DP5" s="849"/>
      <c r="DQ5" s="849"/>
      <c r="DR5" s="849"/>
      <c r="DS5" s="849"/>
      <c r="DT5" s="849"/>
      <c r="DU5" s="849"/>
      <c r="DV5" s="849"/>
      <c r="DW5" s="849"/>
      <c r="DX5" s="849"/>
      <c r="DY5" s="849"/>
      <c r="DZ5" s="849"/>
      <c r="EA5" s="849"/>
      <c r="EB5" s="849"/>
      <c r="EC5" s="849"/>
      <c r="ED5" s="849"/>
      <c r="EE5" s="849"/>
      <c r="EF5" s="849"/>
      <c r="EG5" s="849"/>
      <c r="EH5" s="849"/>
      <c r="EI5" s="849"/>
      <c r="EJ5" s="849"/>
      <c r="EK5" s="849"/>
      <c r="EL5" s="849"/>
      <c r="EM5" s="849"/>
      <c r="EN5" s="849"/>
      <c r="EO5" s="849"/>
      <c r="EP5" s="849"/>
      <c r="EQ5" s="849"/>
      <c r="ER5" s="849"/>
      <c r="ES5" s="849"/>
      <c r="ET5" s="849"/>
      <c r="EU5" s="849"/>
      <c r="EV5" s="849"/>
      <c r="EW5" s="849"/>
      <c r="EX5" s="849"/>
      <c r="EY5" s="849"/>
      <c r="EZ5" s="849"/>
      <c r="FA5" s="849"/>
      <c r="FB5" s="849"/>
      <c r="FC5" s="849"/>
      <c r="FD5" s="849"/>
      <c r="FE5" s="849"/>
      <c r="FF5" s="849"/>
      <c r="FG5" s="849"/>
      <c r="FH5" s="849"/>
      <c r="FI5" s="849"/>
      <c r="FJ5" s="849"/>
      <c r="FK5" s="849"/>
      <c r="FL5" s="849"/>
      <c r="FM5" s="849"/>
      <c r="FN5" s="849"/>
      <c r="FO5" s="849"/>
      <c r="FP5" s="849"/>
      <c r="FQ5" s="849"/>
      <c r="FR5" s="849"/>
      <c r="FS5" s="849"/>
      <c r="FT5" s="849"/>
      <c r="FU5" s="849"/>
      <c r="FV5" s="849"/>
      <c r="FW5" s="849"/>
      <c r="FX5" s="849"/>
      <c r="FY5" s="849"/>
      <c r="FZ5" s="849"/>
      <c r="GA5" s="849"/>
      <c r="GB5" s="849"/>
      <c r="GC5" s="849"/>
      <c r="GD5" s="849"/>
      <c r="GE5" s="849"/>
      <c r="GF5" s="849"/>
      <c r="GG5" s="849"/>
      <c r="GH5" s="849"/>
      <c r="GI5" s="849"/>
      <c r="GJ5" s="849"/>
      <c r="GK5" s="849"/>
      <c r="GL5" s="849"/>
      <c r="GM5" s="849"/>
      <c r="GN5" s="849"/>
      <c r="GO5" s="849"/>
      <c r="GP5" s="849"/>
      <c r="GQ5" s="849"/>
      <c r="GR5" s="849"/>
      <c r="GS5" s="849"/>
      <c r="GT5" s="849"/>
      <c r="GU5" s="849"/>
      <c r="GV5" s="849"/>
      <c r="GW5" s="849"/>
      <c r="GX5" s="849"/>
      <c r="GY5" s="849"/>
      <c r="GZ5" s="849"/>
      <c r="HA5" s="849"/>
      <c r="HB5" s="849"/>
      <c r="HC5" s="849"/>
      <c r="HD5" s="849"/>
      <c r="HE5" s="849"/>
      <c r="HF5" s="849"/>
      <c r="HG5" s="849"/>
      <c r="HH5" s="849"/>
      <c r="HI5" s="849"/>
      <c r="HJ5" s="849"/>
      <c r="HK5" s="849"/>
      <c r="HL5" s="849"/>
      <c r="HM5" s="849"/>
      <c r="HN5" s="849"/>
      <c r="HO5" s="849"/>
      <c r="HP5" s="849"/>
      <c r="HQ5" s="849"/>
      <c r="HR5" s="849"/>
      <c r="HS5" s="849"/>
      <c r="HT5" s="849"/>
      <c r="HU5" s="849"/>
      <c r="HV5" s="849"/>
      <c r="HW5" s="849"/>
      <c r="HX5" s="849"/>
      <c r="HY5" s="849"/>
      <c r="HZ5" s="849"/>
      <c r="IA5" s="849"/>
      <c r="IB5" s="849"/>
      <c r="IC5" s="849"/>
      <c r="ID5" s="849"/>
      <c r="IE5" s="849"/>
      <c r="IF5" s="849"/>
      <c r="IG5" s="849"/>
      <c r="IH5" s="849"/>
      <c r="II5" s="849"/>
      <c r="IJ5" s="849"/>
      <c r="IK5" s="849"/>
      <c r="IL5" s="849"/>
      <c r="IM5" s="849"/>
      <c r="IN5" s="849"/>
      <c r="IO5" s="849"/>
      <c r="IP5" s="849"/>
      <c r="IQ5" s="849"/>
      <c r="IR5" s="849"/>
      <c r="IS5" s="849"/>
      <c r="IT5" s="849"/>
    </row>
    <row r="6" spans="1:254" s="857" customFormat="1" ht="15" customHeight="1" x14ac:dyDescent="0.2">
      <c r="A6" s="1750" t="s">
        <v>418</v>
      </c>
      <c r="B6" s="2270"/>
      <c r="C6" s="1751"/>
      <c r="D6" s="2442" t="str">
        <f>IF('PR_Programmatic Progress_1A'!C6="","",'PR_Programmatic Progress_1A'!C6)</f>
        <v>HIV/AIDS</v>
      </c>
      <c r="E6" s="2443"/>
      <c r="F6" s="2443"/>
      <c r="G6" s="2444"/>
      <c r="H6" s="859"/>
      <c r="I6" s="63"/>
      <c r="J6" s="63"/>
      <c r="K6" s="858"/>
      <c r="L6" s="858"/>
      <c r="M6" s="858"/>
      <c r="N6" s="858"/>
      <c r="O6" s="858"/>
      <c r="P6" s="858"/>
      <c r="Q6" s="858"/>
      <c r="R6" s="849"/>
      <c r="S6" s="849"/>
      <c r="T6" s="849"/>
      <c r="U6" s="849"/>
      <c r="V6" s="849"/>
      <c r="W6" s="849"/>
      <c r="X6" s="849"/>
      <c r="Y6" s="849"/>
      <c r="Z6" s="849"/>
      <c r="AA6" s="849"/>
      <c r="AB6" s="849"/>
      <c r="AC6" s="849"/>
      <c r="AD6" s="849"/>
      <c r="AE6" s="849"/>
      <c r="AF6" s="849"/>
      <c r="AG6" s="849"/>
      <c r="AH6" s="849"/>
      <c r="AI6" s="849"/>
      <c r="AJ6" s="849"/>
      <c r="AK6" s="849"/>
      <c r="AL6" s="849"/>
      <c r="AM6" s="849"/>
      <c r="AN6" s="849"/>
      <c r="AO6" s="849"/>
      <c r="AP6" s="849"/>
      <c r="AQ6" s="849"/>
      <c r="AR6" s="849"/>
      <c r="AS6" s="849"/>
      <c r="AT6" s="849"/>
      <c r="AU6" s="849"/>
      <c r="AV6" s="849"/>
      <c r="AW6" s="849"/>
      <c r="AX6" s="849"/>
      <c r="AY6" s="849"/>
      <c r="AZ6" s="849"/>
      <c r="BA6" s="849"/>
      <c r="BB6" s="849"/>
      <c r="BC6" s="849"/>
      <c r="BD6" s="849"/>
      <c r="BE6" s="849"/>
      <c r="BF6" s="849"/>
      <c r="BG6" s="849"/>
      <c r="BH6" s="849"/>
      <c r="BI6" s="849"/>
      <c r="BJ6" s="849"/>
      <c r="BK6" s="849"/>
      <c r="BL6" s="849"/>
      <c r="BM6" s="849"/>
      <c r="BN6" s="849"/>
      <c r="BO6" s="849"/>
      <c r="BP6" s="849"/>
      <c r="BQ6" s="849"/>
      <c r="BR6" s="849"/>
      <c r="BS6" s="849"/>
      <c r="BT6" s="849"/>
      <c r="BU6" s="849"/>
      <c r="BV6" s="849"/>
      <c r="BW6" s="849"/>
      <c r="BX6" s="849"/>
      <c r="BY6" s="849"/>
      <c r="BZ6" s="849"/>
      <c r="CA6" s="849"/>
      <c r="CB6" s="849"/>
      <c r="CC6" s="849"/>
      <c r="CD6" s="849"/>
      <c r="CE6" s="849"/>
      <c r="CF6" s="849"/>
      <c r="CG6" s="849"/>
      <c r="CH6" s="849"/>
      <c r="CI6" s="849"/>
      <c r="CJ6" s="849"/>
      <c r="CK6" s="849"/>
      <c r="CL6" s="849"/>
      <c r="CM6" s="849"/>
      <c r="CN6" s="849"/>
      <c r="CO6" s="849"/>
      <c r="CP6" s="849"/>
      <c r="CQ6" s="849"/>
      <c r="CR6" s="849"/>
      <c r="CS6" s="849"/>
      <c r="CT6" s="849"/>
      <c r="CU6" s="849"/>
      <c r="CV6" s="849"/>
      <c r="CW6" s="849"/>
      <c r="CX6" s="849"/>
      <c r="CY6" s="849"/>
      <c r="CZ6" s="849"/>
      <c r="DA6" s="849"/>
      <c r="DB6" s="849"/>
      <c r="DC6" s="849"/>
      <c r="DD6" s="849"/>
      <c r="DE6" s="849"/>
      <c r="DF6" s="849"/>
      <c r="DG6" s="849"/>
      <c r="DH6" s="849"/>
      <c r="DI6" s="849"/>
      <c r="DJ6" s="849"/>
      <c r="DK6" s="849"/>
      <c r="DL6" s="849"/>
      <c r="DM6" s="849"/>
      <c r="DN6" s="849"/>
      <c r="DO6" s="849"/>
      <c r="DP6" s="849"/>
      <c r="DQ6" s="849"/>
      <c r="DR6" s="849"/>
      <c r="DS6" s="849"/>
      <c r="DT6" s="849"/>
      <c r="DU6" s="849"/>
      <c r="DV6" s="849"/>
      <c r="DW6" s="849"/>
      <c r="DX6" s="849"/>
      <c r="DY6" s="849"/>
      <c r="DZ6" s="849"/>
      <c r="EA6" s="849"/>
      <c r="EB6" s="849"/>
      <c r="EC6" s="849"/>
      <c r="ED6" s="849"/>
      <c r="EE6" s="849"/>
      <c r="EF6" s="849"/>
      <c r="EG6" s="849"/>
      <c r="EH6" s="849"/>
      <c r="EI6" s="849"/>
      <c r="EJ6" s="849"/>
      <c r="EK6" s="849"/>
      <c r="EL6" s="849"/>
      <c r="EM6" s="849"/>
      <c r="EN6" s="849"/>
      <c r="EO6" s="849"/>
      <c r="EP6" s="849"/>
      <c r="EQ6" s="849"/>
      <c r="ER6" s="849"/>
      <c r="ES6" s="849"/>
      <c r="ET6" s="849"/>
      <c r="EU6" s="849"/>
      <c r="EV6" s="849"/>
      <c r="EW6" s="849"/>
      <c r="EX6" s="849"/>
      <c r="EY6" s="849"/>
      <c r="EZ6" s="849"/>
      <c r="FA6" s="849"/>
      <c r="FB6" s="849"/>
      <c r="FC6" s="849"/>
      <c r="FD6" s="849"/>
      <c r="FE6" s="849"/>
      <c r="FF6" s="849"/>
      <c r="FG6" s="849"/>
      <c r="FH6" s="849"/>
      <c r="FI6" s="849"/>
      <c r="FJ6" s="849"/>
      <c r="FK6" s="849"/>
      <c r="FL6" s="849"/>
      <c r="FM6" s="849"/>
      <c r="FN6" s="849"/>
      <c r="FO6" s="849"/>
      <c r="FP6" s="849"/>
      <c r="FQ6" s="849"/>
      <c r="FR6" s="849"/>
      <c r="FS6" s="849"/>
      <c r="FT6" s="849"/>
      <c r="FU6" s="849"/>
      <c r="FV6" s="849"/>
      <c r="FW6" s="849"/>
      <c r="FX6" s="849"/>
      <c r="FY6" s="849"/>
      <c r="FZ6" s="849"/>
      <c r="GA6" s="849"/>
      <c r="GB6" s="849"/>
      <c r="GC6" s="849"/>
      <c r="GD6" s="849"/>
      <c r="GE6" s="849"/>
      <c r="GF6" s="849"/>
      <c r="GG6" s="849"/>
      <c r="GH6" s="849"/>
      <c r="GI6" s="849"/>
      <c r="GJ6" s="849"/>
      <c r="GK6" s="849"/>
      <c r="GL6" s="849"/>
      <c r="GM6" s="849"/>
      <c r="GN6" s="849"/>
      <c r="GO6" s="849"/>
      <c r="GP6" s="849"/>
      <c r="GQ6" s="849"/>
      <c r="GR6" s="849"/>
      <c r="GS6" s="849"/>
      <c r="GT6" s="849"/>
      <c r="GU6" s="849"/>
      <c r="GV6" s="849"/>
      <c r="GW6" s="849"/>
      <c r="GX6" s="849"/>
      <c r="GY6" s="849"/>
      <c r="GZ6" s="849"/>
      <c r="HA6" s="849"/>
      <c r="HB6" s="849"/>
      <c r="HC6" s="849"/>
      <c r="HD6" s="849"/>
      <c r="HE6" s="849"/>
      <c r="HF6" s="849"/>
      <c r="HG6" s="849"/>
      <c r="HH6" s="849"/>
      <c r="HI6" s="849"/>
      <c r="HJ6" s="849"/>
      <c r="HK6" s="849"/>
      <c r="HL6" s="849"/>
      <c r="HM6" s="849"/>
      <c r="HN6" s="849"/>
      <c r="HO6" s="849"/>
      <c r="HP6" s="849"/>
      <c r="HQ6" s="849"/>
      <c r="HR6" s="849"/>
      <c r="HS6" s="849"/>
      <c r="HT6" s="849"/>
      <c r="HU6" s="849"/>
      <c r="HV6" s="849"/>
      <c r="HW6" s="849"/>
      <c r="HX6" s="849"/>
      <c r="HY6" s="849"/>
      <c r="HZ6" s="849"/>
      <c r="IA6" s="849"/>
      <c r="IB6" s="849"/>
      <c r="IC6" s="849"/>
      <c r="ID6" s="849"/>
      <c r="IE6" s="849"/>
      <c r="IF6" s="849"/>
      <c r="IG6" s="849"/>
      <c r="IH6" s="849"/>
      <c r="II6" s="849"/>
      <c r="IJ6" s="849"/>
      <c r="IK6" s="849"/>
      <c r="IL6" s="849"/>
      <c r="IM6" s="849"/>
      <c r="IN6" s="849"/>
      <c r="IO6" s="849"/>
      <c r="IP6" s="849"/>
      <c r="IQ6" s="849"/>
      <c r="IR6" s="849"/>
      <c r="IS6" s="849"/>
      <c r="IT6" s="849"/>
    </row>
    <row r="7" spans="1:254" s="857" customFormat="1" ht="15" customHeight="1" x14ac:dyDescent="0.2">
      <c r="A7" s="1750" t="s">
        <v>615</v>
      </c>
      <c r="B7" s="2270"/>
      <c r="C7" s="1751"/>
      <c r="D7" s="2439" t="str">
        <f>IF('PR_Programmatic Progress_1A'!C7="","",'PR_Programmatic Progress_1A'!C7)</f>
        <v>BTN-607-G03-H</v>
      </c>
      <c r="E7" s="2440"/>
      <c r="F7" s="2440"/>
      <c r="G7" s="2441"/>
      <c r="H7" s="85"/>
      <c r="I7" s="63"/>
      <c r="J7" s="753"/>
      <c r="K7" s="858"/>
      <c r="L7" s="858"/>
      <c r="M7" s="858"/>
      <c r="N7" s="858"/>
      <c r="O7" s="858"/>
      <c r="P7" s="858"/>
      <c r="Q7" s="858"/>
      <c r="R7" s="849"/>
      <c r="S7" s="849"/>
      <c r="T7" s="849"/>
      <c r="U7" s="849"/>
      <c r="V7" s="849"/>
      <c r="W7" s="849"/>
      <c r="X7" s="849"/>
      <c r="Y7" s="849"/>
      <c r="Z7" s="849"/>
      <c r="AA7" s="849"/>
      <c r="AB7" s="849"/>
      <c r="AC7" s="849"/>
      <c r="AD7" s="849"/>
      <c r="AE7" s="849"/>
      <c r="AF7" s="849"/>
      <c r="AG7" s="849"/>
      <c r="AH7" s="849"/>
      <c r="AI7" s="849"/>
      <c r="AJ7" s="849"/>
      <c r="AK7" s="849"/>
      <c r="AL7" s="849"/>
      <c r="AM7" s="849"/>
      <c r="AN7" s="849"/>
      <c r="AO7" s="849"/>
      <c r="AP7" s="849"/>
      <c r="AQ7" s="849"/>
      <c r="AR7" s="849"/>
      <c r="AS7" s="849"/>
      <c r="AT7" s="849"/>
      <c r="AU7" s="849"/>
      <c r="AV7" s="849"/>
      <c r="AW7" s="849"/>
      <c r="AX7" s="849"/>
      <c r="AY7" s="849"/>
      <c r="AZ7" s="849"/>
      <c r="BA7" s="849"/>
      <c r="BB7" s="849"/>
      <c r="BC7" s="849"/>
      <c r="BD7" s="849"/>
      <c r="BE7" s="849"/>
      <c r="BF7" s="849"/>
      <c r="BG7" s="849"/>
      <c r="BH7" s="849"/>
      <c r="BI7" s="849"/>
      <c r="BJ7" s="849"/>
      <c r="BK7" s="849"/>
      <c r="BL7" s="849"/>
      <c r="BM7" s="849"/>
      <c r="BN7" s="849"/>
      <c r="BO7" s="849"/>
      <c r="BP7" s="849"/>
      <c r="BQ7" s="849"/>
      <c r="BR7" s="849"/>
      <c r="BS7" s="849"/>
      <c r="BT7" s="849"/>
      <c r="BU7" s="849"/>
      <c r="BV7" s="849"/>
      <c r="BW7" s="849"/>
      <c r="BX7" s="849"/>
      <c r="BY7" s="849"/>
      <c r="BZ7" s="849"/>
      <c r="CA7" s="849"/>
      <c r="CB7" s="849"/>
      <c r="CC7" s="849"/>
      <c r="CD7" s="849"/>
      <c r="CE7" s="849"/>
      <c r="CF7" s="849"/>
      <c r="CG7" s="849"/>
      <c r="CH7" s="849"/>
      <c r="CI7" s="849"/>
      <c r="CJ7" s="849"/>
      <c r="CK7" s="849"/>
      <c r="CL7" s="849"/>
      <c r="CM7" s="849"/>
      <c r="CN7" s="849"/>
      <c r="CO7" s="849"/>
      <c r="CP7" s="849"/>
      <c r="CQ7" s="849"/>
      <c r="CR7" s="849"/>
      <c r="CS7" s="849"/>
      <c r="CT7" s="849"/>
      <c r="CU7" s="849"/>
      <c r="CV7" s="849"/>
      <c r="CW7" s="849"/>
      <c r="CX7" s="849"/>
      <c r="CY7" s="849"/>
      <c r="CZ7" s="849"/>
      <c r="DA7" s="849"/>
      <c r="DB7" s="849"/>
      <c r="DC7" s="849"/>
      <c r="DD7" s="849"/>
      <c r="DE7" s="849"/>
      <c r="DF7" s="849"/>
      <c r="DG7" s="849"/>
      <c r="DH7" s="849"/>
      <c r="DI7" s="849"/>
      <c r="DJ7" s="849"/>
      <c r="DK7" s="849"/>
      <c r="DL7" s="849"/>
      <c r="DM7" s="849"/>
      <c r="DN7" s="849"/>
      <c r="DO7" s="849"/>
      <c r="DP7" s="849"/>
      <c r="DQ7" s="849"/>
      <c r="DR7" s="849"/>
      <c r="DS7" s="849"/>
      <c r="DT7" s="849"/>
      <c r="DU7" s="849"/>
      <c r="DV7" s="849"/>
      <c r="DW7" s="849"/>
      <c r="DX7" s="849"/>
      <c r="DY7" s="849"/>
      <c r="DZ7" s="849"/>
      <c r="EA7" s="849"/>
      <c r="EB7" s="849"/>
      <c r="EC7" s="849"/>
      <c r="ED7" s="849"/>
      <c r="EE7" s="849"/>
      <c r="EF7" s="849"/>
      <c r="EG7" s="849"/>
      <c r="EH7" s="849"/>
      <c r="EI7" s="849"/>
      <c r="EJ7" s="849"/>
      <c r="EK7" s="849"/>
      <c r="EL7" s="849"/>
      <c r="EM7" s="849"/>
      <c r="EN7" s="849"/>
      <c r="EO7" s="849"/>
      <c r="EP7" s="849"/>
      <c r="EQ7" s="849"/>
      <c r="ER7" s="849"/>
      <c r="ES7" s="849"/>
      <c r="ET7" s="849"/>
      <c r="EU7" s="849"/>
      <c r="EV7" s="849"/>
      <c r="EW7" s="849"/>
      <c r="EX7" s="849"/>
      <c r="EY7" s="849"/>
      <c r="EZ7" s="849"/>
      <c r="FA7" s="849"/>
      <c r="FB7" s="849"/>
      <c r="FC7" s="849"/>
      <c r="FD7" s="849"/>
      <c r="FE7" s="849"/>
      <c r="FF7" s="849"/>
      <c r="FG7" s="849"/>
      <c r="FH7" s="849"/>
      <c r="FI7" s="849"/>
      <c r="FJ7" s="849"/>
      <c r="FK7" s="849"/>
      <c r="FL7" s="849"/>
      <c r="FM7" s="849"/>
      <c r="FN7" s="849"/>
      <c r="FO7" s="849"/>
      <c r="FP7" s="849"/>
      <c r="FQ7" s="849"/>
      <c r="FR7" s="849"/>
      <c r="FS7" s="849"/>
      <c r="FT7" s="849"/>
      <c r="FU7" s="849"/>
      <c r="FV7" s="849"/>
      <c r="FW7" s="849"/>
      <c r="FX7" s="849"/>
      <c r="FY7" s="849"/>
      <c r="FZ7" s="849"/>
      <c r="GA7" s="849"/>
      <c r="GB7" s="849"/>
      <c r="GC7" s="849"/>
      <c r="GD7" s="849"/>
      <c r="GE7" s="849"/>
      <c r="GF7" s="849"/>
      <c r="GG7" s="849"/>
      <c r="GH7" s="849"/>
      <c r="GI7" s="849"/>
      <c r="GJ7" s="849"/>
      <c r="GK7" s="849"/>
      <c r="GL7" s="849"/>
      <c r="GM7" s="849"/>
      <c r="GN7" s="849"/>
      <c r="GO7" s="849"/>
      <c r="GP7" s="849"/>
      <c r="GQ7" s="849"/>
      <c r="GR7" s="849"/>
      <c r="GS7" s="849"/>
      <c r="GT7" s="849"/>
      <c r="GU7" s="849"/>
      <c r="GV7" s="849"/>
      <c r="GW7" s="849"/>
      <c r="GX7" s="849"/>
      <c r="GY7" s="849"/>
      <c r="GZ7" s="849"/>
      <c r="HA7" s="849"/>
      <c r="HB7" s="849"/>
      <c r="HC7" s="849"/>
      <c r="HD7" s="849"/>
      <c r="HE7" s="849"/>
      <c r="HF7" s="849"/>
      <c r="HG7" s="849"/>
      <c r="HH7" s="849"/>
      <c r="HI7" s="849"/>
      <c r="HJ7" s="849"/>
      <c r="HK7" s="849"/>
      <c r="HL7" s="849"/>
      <c r="HM7" s="849"/>
      <c r="HN7" s="849"/>
      <c r="HO7" s="849"/>
      <c r="HP7" s="849"/>
      <c r="HQ7" s="849"/>
      <c r="HR7" s="849"/>
      <c r="HS7" s="849"/>
      <c r="HT7" s="849"/>
      <c r="HU7" s="849"/>
      <c r="HV7" s="849"/>
      <c r="HW7" s="849"/>
      <c r="HX7" s="849"/>
      <c r="HY7" s="849"/>
      <c r="HZ7" s="849"/>
      <c r="IA7" s="849"/>
      <c r="IB7" s="849"/>
      <c r="IC7" s="849"/>
      <c r="ID7" s="849"/>
      <c r="IE7" s="849"/>
      <c r="IF7" s="849"/>
      <c r="IG7" s="849"/>
      <c r="IH7" s="849"/>
      <c r="II7" s="849"/>
      <c r="IJ7" s="849"/>
      <c r="IK7" s="849"/>
      <c r="IL7" s="849"/>
      <c r="IM7" s="849"/>
      <c r="IN7" s="849"/>
      <c r="IO7" s="849"/>
      <c r="IP7" s="849"/>
      <c r="IQ7" s="849"/>
      <c r="IR7" s="849"/>
      <c r="IS7" s="849"/>
      <c r="IT7" s="849"/>
    </row>
    <row r="8" spans="1:254" s="857" customFormat="1" ht="15" customHeight="1" x14ac:dyDescent="0.2">
      <c r="A8" s="1750" t="s">
        <v>588</v>
      </c>
      <c r="B8" s="2270"/>
      <c r="C8" s="1751"/>
      <c r="D8" s="2442" t="str">
        <f>IF('PR_Programmatic Progress_1A'!C8="","",'PR_Programmatic Progress_1A'!C8)</f>
        <v xml:space="preserve">Ministry of Health </v>
      </c>
      <c r="E8" s="2443"/>
      <c r="F8" s="2443"/>
      <c r="G8" s="2444"/>
      <c r="H8" s="859"/>
      <c r="I8" s="63"/>
      <c r="J8" s="63"/>
      <c r="K8" s="858"/>
      <c r="L8" s="858"/>
      <c r="M8" s="858"/>
      <c r="N8" s="858"/>
      <c r="O8" s="858"/>
      <c r="P8" s="858"/>
      <c r="Q8" s="858"/>
      <c r="R8" s="849"/>
      <c r="S8" s="849"/>
      <c r="T8" s="849"/>
      <c r="U8" s="849"/>
      <c r="V8" s="849"/>
      <c r="W8" s="849"/>
      <c r="X8" s="849"/>
      <c r="Y8" s="849"/>
      <c r="Z8" s="849"/>
      <c r="AA8" s="849"/>
      <c r="AB8" s="849"/>
      <c r="AC8" s="849"/>
      <c r="AD8" s="849"/>
      <c r="AE8" s="849"/>
      <c r="AF8" s="849"/>
      <c r="AG8" s="849"/>
      <c r="AH8" s="849"/>
      <c r="AI8" s="849"/>
      <c r="AJ8" s="849"/>
      <c r="AK8" s="849"/>
      <c r="AL8" s="849"/>
      <c r="AM8" s="849"/>
      <c r="AN8" s="849"/>
      <c r="AO8" s="849"/>
      <c r="AP8" s="849"/>
      <c r="AQ8" s="849"/>
      <c r="AR8" s="849"/>
      <c r="AS8" s="849"/>
      <c r="AT8" s="849"/>
      <c r="AU8" s="849"/>
      <c r="AV8" s="849"/>
      <c r="AW8" s="849"/>
      <c r="AX8" s="849"/>
      <c r="AY8" s="849"/>
      <c r="AZ8" s="849"/>
      <c r="BA8" s="849"/>
      <c r="BB8" s="849"/>
      <c r="BC8" s="849"/>
      <c r="BD8" s="849"/>
      <c r="BE8" s="849"/>
      <c r="BF8" s="849"/>
      <c r="BG8" s="849"/>
      <c r="BH8" s="849"/>
      <c r="BI8" s="849"/>
      <c r="BJ8" s="849"/>
      <c r="BK8" s="849"/>
      <c r="BL8" s="849"/>
      <c r="BM8" s="849"/>
      <c r="BN8" s="849"/>
      <c r="BO8" s="849"/>
      <c r="BP8" s="849"/>
      <c r="BQ8" s="849"/>
      <c r="BR8" s="849"/>
      <c r="BS8" s="849"/>
      <c r="BT8" s="849"/>
      <c r="BU8" s="849"/>
      <c r="BV8" s="849"/>
      <c r="BW8" s="849"/>
      <c r="BX8" s="849"/>
      <c r="BY8" s="849"/>
      <c r="BZ8" s="849"/>
      <c r="CA8" s="849"/>
      <c r="CB8" s="849"/>
      <c r="CC8" s="849"/>
      <c r="CD8" s="849"/>
      <c r="CE8" s="849"/>
      <c r="CF8" s="849"/>
      <c r="CG8" s="849"/>
      <c r="CH8" s="849"/>
      <c r="CI8" s="849"/>
      <c r="CJ8" s="849"/>
      <c r="CK8" s="849"/>
      <c r="CL8" s="849"/>
      <c r="CM8" s="849"/>
      <c r="CN8" s="849"/>
      <c r="CO8" s="849"/>
      <c r="CP8" s="849"/>
      <c r="CQ8" s="849"/>
      <c r="CR8" s="849"/>
      <c r="CS8" s="849"/>
      <c r="CT8" s="849"/>
      <c r="CU8" s="849"/>
      <c r="CV8" s="849"/>
      <c r="CW8" s="849"/>
      <c r="CX8" s="849"/>
      <c r="CY8" s="849"/>
      <c r="CZ8" s="849"/>
      <c r="DA8" s="849"/>
      <c r="DB8" s="849"/>
      <c r="DC8" s="849"/>
      <c r="DD8" s="849"/>
      <c r="DE8" s="849"/>
      <c r="DF8" s="849"/>
      <c r="DG8" s="849"/>
      <c r="DH8" s="849"/>
      <c r="DI8" s="849"/>
      <c r="DJ8" s="849"/>
      <c r="DK8" s="849"/>
      <c r="DL8" s="849"/>
      <c r="DM8" s="849"/>
      <c r="DN8" s="849"/>
      <c r="DO8" s="849"/>
      <c r="DP8" s="849"/>
      <c r="DQ8" s="849"/>
      <c r="DR8" s="849"/>
      <c r="DS8" s="849"/>
      <c r="DT8" s="849"/>
      <c r="DU8" s="849"/>
      <c r="DV8" s="849"/>
      <c r="DW8" s="849"/>
      <c r="DX8" s="849"/>
      <c r="DY8" s="849"/>
      <c r="DZ8" s="849"/>
      <c r="EA8" s="849"/>
      <c r="EB8" s="849"/>
      <c r="EC8" s="849"/>
      <c r="ED8" s="849"/>
      <c r="EE8" s="849"/>
      <c r="EF8" s="849"/>
      <c r="EG8" s="849"/>
      <c r="EH8" s="849"/>
      <c r="EI8" s="849"/>
      <c r="EJ8" s="849"/>
      <c r="EK8" s="849"/>
      <c r="EL8" s="849"/>
      <c r="EM8" s="849"/>
      <c r="EN8" s="849"/>
      <c r="EO8" s="849"/>
      <c r="EP8" s="849"/>
      <c r="EQ8" s="849"/>
      <c r="ER8" s="849"/>
      <c r="ES8" s="849"/>
      <c r="ET8" s="849"/>
      <c r="EU8" s="849"/>
      <c r="EV8" s="849"/>
      <c r="EW8" s="849"/>
      <c r="EX8" s="849"/>
      <c r="EY8" s="849"/>
      <c r="EZ8" s="849"/>
      <c r="FA8" s="849"/>
      <c r="FB8" s="849"/>
      <c r="FC8" s="849"/>
      <c r="FD8" s="849"/>
      <c r="FE8" s="849"/>
      <c r="FF8" s="849"/>
      <c r="FG8" s="849"/>
      <c r="FH8" s="849"/>
      <c r="FI8" s="849"/>
      <c r="FJ8" s="849"/>
      <c r="FK8" s="849"/>
      <c r="FL8" s="849"/>
      <c r="FM8" s="849"/>
      <c r="FN8" s="849"/>
      <c r="FO8" s="849"/>
      <c r="FP8" s="849"/>
      <c r="FQ8" s="849"/>
      <c r="FR8" s="849"/>
      <c r="FS8" s="849"/>
      <c r="FT8" s="849"/>
      <c r="FU8" s="849"/>
      <c r="FV8" s="849"/>
      <c r="FW8" s="849"/>
      <c r="FX8" s="849"/>
      <c r="FY8" s="849"/>
      <c r="FZ8" s="849"/>
      <c r="GA8" s="849"/>
      <c r="GB8" s="849"/>
      <c r="GC8" s="849"/>
      <c r="GD8" s="849"/>
      <c r="GE8" s="849"/>
      <c r="GF8" s="849"/>
      <c r="GG8" s="849"/>
      <c r="GH8" s="849"/>
      <c r="GI8" s="849"/>
      <c r="GJ8" s="849"/>
      <c r="GK8" s="849"/>
      <c r="GL8" s="849"/>
      <c r="GM8" s="849"/>
      <c r="GN8" s="849"/>
      <c r="GO8" s="849"/>
      <c r="GP8" s="849"/>
      <c r="GQ8" s="849"/>
      <c r="GR8" s="849"/>
      <c r="GS8" s="849"/>
      <c r="GT8" s="849"/>
      <c r="GU8" s="849"/>
      <c r="GV8" s="849"/>
      <c r="GW8" s="849"/>
      <c r="GX8" s="849"/>
      <c r="GY8" s="849"/>
      <c r="GZ8" s="849"/>
      <c r="HA8" s="849"/>
      <c r="HB8" s="849"/>
      <c r="HC8" s="849"/>
      <c r="HD8" s="849"/>
      <c r="HE8" s="849"/>
      <c r="HF8" s="849"/>
      <c r="HG8" s="849"/>
      <c r="HH8" s="849"/>
      <c r="HI8" s="849"/>
      <c r="HJ8" s="849"/>
      <c r="HK8" s="849"/>
      <c r="HL8" s="849"/>
      <c r="HM8" s="849"/>
      <c r="HN8" s="849"/>
      <c r="HO8" s="849"/>
      <c r="HP8" s="849"/>
      <c r="HQ8" s="849"/>
      <c r="HR8" s="849"/>
      <c r="HS8" s="849"/>
      <c r="HT8" s="849"/>
      <c r="HU8" s="849"/>
      <c r="HV8" s="849"/>
      <c r="HW8" s="849"/>
      <c r="HX8" s="849"/>
      <c r="HY8" s="849"/>
      <c r="HZ8" s="849"/>
      <c r="IA8" s="849"/>
      <c r="IB8" s="849"/>
      <c r="IC8" s="849"/>
      <c r="ID8" s="849"/>
      <c r="IE8" s="849"/>
      <c r="IF8" s="849"/>
      <c r="IG8" s="849"/>
      <c r="IH8" s="849"/>
      <c r="II8" s="849"/>
      <c r="IJ8" s="849"/>
      <c r="IK8" s="849"/>
      <c r="IL8" s="849"/>
      <c r="IM8" s="849"/>
      <c r="IN8" s="849"/>
      <c r="IO8" s="849"/>
      <c r="IP8" s="849"/>
      <c r="IQ8" s="849"/>
      <c r="IR8" s="849"/>
      <c r="IS8" s="849"/>
      <c r="IT8" s="849"/>
    </row>
    <row r="9" spans="1:254" s="857" customFormat="1" ht="15" customHeight="1" x14ac:dyDescent="0.2">
      <c r="A9" s="1750" t="s">
        <v>613</v>
      </c>
      <c r="B9" s="2270"/>
      <c r="C9" s="1751"/>
      <c r="D9" s="2436">
        <f>IF('PR_Programmatic Progress_1A'!C9="","",'PR_Programmatic Progress_1A'!C9)</f>
        <v>39479</v>
      </c>
      <c r="E9" s="2437"/>
      <c r="F9" s="2437"/>
      <c r="G9" s="2438"/>
      <c r="H9" s="860"/>
      <c r="I9" s="63"/>
      <c r="J9" s="63"/>
      <c r="K9" s="858"/>
      <c r="L9" s="858"/>
      <c r="M9" s="858"/>
      <c r="N9" s="858"/>
      <c r="O9" s="858"/>
      <c r="P9" s="858"/>
      <c r="Q9" s="858"/>
      <c r="R9" s="849"/>
      <c r="S9" s="849"/>
      <c r="T9" s="849"/>
      <c r="U9" s="849"/>
      <c r="V9" s="849"/>
      <c r="W9" s="849"/>
      <c r="X9" s="849"/>
      <c r="Y9" s="849"/>
      <c r="Z9" s="849"/>
      <c r="AA9" s="849"/>
      <c r="AB9" s="849"/>
      <c r="AC9" s="849"/>
      <c r="AD9" s="849"/>
      <c r="AE9" s="849"/>
      <c r="AF9" s="849"/>
      <c r="AG9" s="849"/>
      <c r="AH9" s="849"/>
      <c r="AI9" s="849"/>
      <c r="AJ9" s="849"/>
      <c r="AK9" s="849"/>
      <c r="AL9" s="849"/>
      <c r="AM9" s="849"/>
      <c r="AN9" s="849"/>
      <c r="AO9" s="849"/>
      <c r="AP9" s="849"/>
      <c r="AQ9" s="849"/>
      <c r="AR9" s="849"/>
      <c r="AS9" s="849"/>
      <c r="AT9" s="849"/>
      <c r="AU9" s="849"/>
      <c r="AV9" s="849"/>
      <c r="AW9" s="849"/>
      <c r="AX9" s="849"/>
      <c r="AY9" s="849"/>
      <c r="AZ9" s="849"/>
      <c r="BA9" s="849"/>
      <c r="BB9" s="849"/>
      <c r="BC9" s="849"/>
      <c r="BD9" s="849"/>
      <c r="BE9" s="849"/>
      <c r="BF9" s="849"/>
      <c r="BG9" s="849"/>
      <c r="BH9" s="849"/>
      <c r="BI9" s="849"/>
      <c r="BJ9" s="849"/>
      <c r="BK9" s="849"/>
      <c r="BL9" s="849"/>
      <c r="BM9" s="849"/>
      <c r="BN9" s="849"/>
      <c r="BO9" s="849"/>
      <c r="BP9" s="849"/>
      <c r="BQ9" s="849"/>
      <c r="BR9" s="849"/>
      <c r="BS9" s="849"/>
      <c r="BT9" s="849"/>
      <c r="BU9" s="849"/>
      <c r="BV9" s="849"/>
      <c r="BW9" s="849"/>
      <c r="BX9" s="849"/>
      <c r="BY9" s="849"/>
      <c r="BZ9" s="849"/>
      <c r="CA9" s="849"/>
      <c r="CB9" s="849"/>
      <c r="CC9" s="849"/>
      <c r="CD9" s="849"/>
      <c r="CE9" s="849"/>
      <c r="CF9" s="849"/>
      <c r="CG9" s="849"/>
      <c r="CH9" s="849"/>
      <c r="CI9" s="849"/>
      <c r="CJ9" s="849"/>
      <c r="CK9" s="849"/>
      <c r="CL9" s="849"/>
      <c r="CM9" s="849"/>
      <c r="CN9" s="849"/>
      <c r="CO9" s="849"/>
      <c r="CP9" s="849"/>
      <c r="CQ9" s="849"/>
      <c r="CR9" s="849"/>
      <c r="CS9" s="849"/>
      <c r="CT9" s="849"/>
      <c r="CU9" s="849"/>
      <c r="CV9" s="849"/>
      <c r="CW9" s="849"/>
      <c r="CX9" s="849"/>
      <c r="CY9" s="849"/>
      <c r="CZ9" s="849"/>
      <c r="DA9" s="849"/>
      <c r="DB9" s="849"/>
      <c r="DC9" s="849"/>
      <c r="DD9" s="849"/>
      <c r="DE9" s="849"/>
      <c r="DF9" s="849"/>
      <c r="DG9" s="849"/>
      <c r="DH9" s="849"/>
      <c r="DI9" s="849"/>
      <c r="DJ9" s="849"/>
      <c r="DK9" s="849"/>
      <c r="DL9" s="849"/>
      <c r="DM9" s="849"/>
      <c r="DN9" s="849"/>
      <c r="DO9" s="849"/>
      <c r="DP9" s="849"/>
      <c r="DQ9" s="849"/>
      <c r="DR9" s="849"/>
      <c r="DS9" s="849"/>
      <c r="DT9" s="849"/>
      <c r="DU9" s="849"/>
      <c r="DV9" s="849"/>
      <c r="DW9" s="849"/>
      <c r="DX9" s="849"/>
      <c r="DY9" s="849"/>
      <c r="DZ9" s="849"/>
      <c r="EA9" s="849"/>
      <c r="EB9" s="849"/>
      <c r="EC9" s="849"/>
      <c r="ED9" s="849"/>
      <c r="EE9" s="849"/>
      <c r="EF9" s="849"/>
      <c r="EG9" s="849"/>
      <c r="EH9" s="849"/>
      <c r="EI9" s="849"/>
      <c r="EJ9" s="849"/>
      <c r="EK9" s="849"/>
      <c r="EL9" s="849"/>
      <c r="EM9" s="849"/>
      <c r="EN9" s="849"/>
      <c r="EO9" s="849"/>
      <c r="EP9" s="849"/>
      <c r="EQ9" s="849"/>
      <c r="ER9" s="849"/>
      <c r="ES9" s="849"/>
      <c r="ET9" s="849"/>
      <c r="EU9" s="849"/>
      <c r="EV9" s="849"/>
      <c r="EW9" s="849"/>
      <c r="EX9" s="849"/>
      <c r="EY9" s="849"/>
      <c r="EZ9" s="849"/>
      <c r="FA9" s="849"/>
      <c r="FB9" s="849"/>
      <c r="FC9" s="849"/>
      <c r="FD9" s="849"/>
      <c r="FE9" s="849"/>
      <c r="FF9" s="849"/>
      <c r="FG9" s="849"/>
      <c r="FH9" s="849"/>
      <c r="FI9" s="849"/>
      <c r="FJ9" s="849"/>
      <c r="FK9" s="849"/>
      <c r="FL9" s="849"/>
      <c r="FM9" s="849"/>
      <c r="FN9" s="849"/>
      <c r="FO9" s="849"/>
      <c r="FP9" s="849"/>
      <c r="FQ9" s="849"/>
      <c r="FR9" s="849"/>
      <c r="FS9" s="849"/>
      <c r="FT9" s="849"/>
      <c r="FU9" s="849"/>
      <c r="FV9" s="849"/>
      <c r="FW9" s="849"/>
      <c r="FX9" s="849"/>
      <c r="FY9" s="849"/>
      <c r="FZ9" s="849"/>
      <c r="GA9" s="849"/>
      <c r="GB9" s="849"/>
      <c r="GC9" s="849"/>
      <c r="GD9" s="849"/>
      <c r="GE9" s="849"/>
      <c r="GF9" s="849"/>
      <c r="GG9" s="849"/>
      <c r="GH9" s="849"/>
      <c r="GI9" s="849"/>
      <c r="GJ9" s="849"/>
      <c r="GK9" s="849"/>
      <c r="GL9" s="849"/>
      <c r="GM9" s="849"/>
      <c r="GN9" s="849"/>
      <c r="GO9" s="849"/>
      <c r="GP9" s="849"/>
      <c r="GQ9" s="849"/>
      <c r="GR9" s="849"/>
      <c r="GS9" s="849"/>
      <c r="GT9" s="849"/>
      <c r="GU9" s="849"/>
      <c r="GV9" s="849"/>
      <c r="GW9" s="849"/>
      <c r="GX9" s="849"/>
      <c r="GY9" s="849"/>
      <c r="GZ9" s="849"/>
      <c r="HA9" s="849"/>
      <c r="HB9" s="849"/>
      <c r="HC9" s="849"/>
      <c r="HD9" s="849"/>
      <c r="HE9" s="849"/>
      <c r="HF9" s="849"/>
      <c r="HG9" s="849"/>
      <c r="HH9" s="849"/>
      <c r="HI9" s="849"/>
      <c r="HJ9" s="849"/>
      <c r="HK9" s="849"/>
      <c r="HL9" s="849"/>
      <c r="HM9" s="849"/>
      <c r="HN9" s="849"/>
      <c r="HO9" s="849"/>
      <c r="HP9" s="849"/>
      <c r="HQ9" s="849"/>
      <c r="HR9" s="849"/>
      <c r="HS9" s="849"/>
      <c r="HT9" s="849"/>
      <c r="HU9" s="849"/>
      <c r="HV9" s="849"/>
      <c r="HW9" s="849"/>
      <c r="HX9" s="849"/>
      <c r="HY9" s="849"/>
      <c r="HZ9" s="849"/>
      <c r="IA9" s="849"/>
      <c r="IB9" s="849"/>
      <c r="IC9" s="849"/>
      <c r="ID9" s="849"/>
      <c r="IE9" s="849"/>
      <c r="IF9" s="849"/>
      <c r="IG9" s="849"/>
      <c r="IH9" s="849"/>
      <c r="II9" s="849"/>
      <c r="IJ9" s="849"/>
      <c r="IK9" s="849"/>
      <c r="IL9" s="849"/>
      <c r="IM9" s="849"/>
      <c r="IN9" s="849"/>
      <c r="IO9" s="849"/>
      <c r="IP9" s="849"/>
      <c r="IQ9" s="849"/>
      <c r="IR9" s="849"/>
      <c r="IS9" s="849"/>
      <c r="IT9" s="849"/>
    </row>
    <row r="10" spans="1:254" s="857" customFormat="1" ht="15" customHeight="1" thickBot="1" x14ac:dyDescent="0.25">
      <c r="A10" s="1778" t="s">
        <v>589</v>
      </c>
      <c r="B10" s="2445"/>
      <c r="C10" s="1779"/>
      <c r="D10" s="2158" t="str">
        <f>IF('PR_Programmatic Progress_1A'!C10="","",'PR_Programmatic Progress_1A'!C10)</f>
        <v>USD</v>
      </c>
      <c r="E10" s="2159"/>
      <c r="F10" s="2159"/>
      <c r="G10" s="2160"/>
      <c r="H10" s="861"/>
      <c r="I10" s="63"/>
      <c r="J10" s="63"/>
      <c r="K10" s="1127"/>
      <c r="L10" s="858"/>
      <c r="M10" s="858"/>
      <c r="N10" s="858"/>
      <c r="O10" s="858"/>
      <c r="P10" s="858"/>
      <c r="Q10" s="858"/>
      <c r="R10" s="849"/>
      <c r="S10" s="849"/>
      <c r="T10" s="849"/>
      <c r="U10" s="849"/>
      <c r="V10" s="849"/>
      <c r="W10" s="849"/>
      <c r="X10" s="849"/>
      <c r="Y10" s="849"/>
      <c r="Z10" s="849"/>
      <c r="AA10" s="849"/>
      <c r="AB10" s="849"/>
      <c r="AC10" s="849"/>
      <c r="AD10" s="849"/>
      <c r="AE10" s="849"/>
      <c r="AF10" s="849"/>
      <c r="AG10" s="849"/>
      <c r="AH10" s="849"/>
      <c r="AI10" s="849"/>
      <c r="AJ10" s="849"/>
      <c r="AK10" s="849"/>
      <c r="AL10" s="849"/>
      <c r="AM10" s="849"/>
      <c r="AN10" s="849"/>
      <c r="AO10" s="849"/>
      <c r="AP10" s="849"/>
      <c r="AQ10" s="849"/>
      <c r="AR10" s="849"/>
      <c r="AS10" s="849"/>
      <c r="AT10" s="849"/>
      <c r="AU10" s="849"/>
      <c r="AV10" s="849"/>
      <c r="AW10" s="849"/>
      <c r="AX10" s="849"/>
      <c r="AY10" s="849"/>
      <c r="AZ10" s="849"/>
      <c r="BA10" s="849"/>
      <c r="BB10" s="849"/>
      <c r="BC10" s="849"/>
      <c r="BD10" s="849"/>
      <c r="BE10" s="849"/>
      <c r="BF10" s="849"/>
      <c r="BG10" s="849"/>
      <c r="BH10" s="849"/>
      <c r="BI10" s="849"/>
      <c r="BJ10" s="849"/>
      <c r="BK10" s="849"/>
      <c r="BL10" s="849"/>
      <c r="BM10" s="849"/>
      <c r="BN10" s="849"/>
      <c r="BO10" s="849"/>
      <c r="BP10" s="849"/>
      <c r="BQ10" s="849"/>
      <c r="BR10" s="849"/>
      <c r="BS10" s="849"/>
      <c r="BT10" s="849"/>
      <c r="BU10" s="849"/>
      <c r="BV10" s="849"/>
      <c r="BW10" s="849"/>
      <c r="BX10" s="849"/>
      <c r="BY10" s="849"/>
      <c r="BZ10" s="849"/>
      <c r="CA10" s="849"/>
      <c r="CB10" s="849"/>
      <c r="CC10" s="849"/>
      <c r="CD10" s="849"/>
      <c r="CE10" s="849"/>
      <c r="CF10" s="849"/>
      <c r="CG10" s="849"/>
      <c r="CH10" s="849"/>
      <c r="CI10" s="849"/>
      <c r="CJ10" s="849"/>
      <c r="CK10" s="849"/>
      <c r="CL10" s="849"/>
      <c r="CM10" s="849"/>
      <c r="CN10" s="849"/>
      <c r="CO10" s="849"/>
      <c r="CP10" s="849"/>
      <c r="CQ10" s="849"/>
      <c r="CR10" s="849"/>
      <c r="CS10" s="849"/>
      <c r="CT10" s="849"/>
      <c r="CU10" s="849"/>
      <c r="CV10" s="849"/>
      <c r="CW10" s="849"/>
      <c r="CX10" s="849"/>
      <c r="CY10" s="849"/>
      <c r="CZ10" s="849"/>
      <c r="DA10" s="849"/>
      <c r="DB10" s="849"/>
      <c r="DC10" s="849"/>
      <c r="DD10" s="849"/>
      <c r="DE10" s="849"/>
      <c r="DF10" s="849"/>
      <c r="DG10" s="849"/>
      <c r="DH10" s="849"/>
      <c r="DI10" s="849"/>
      <c r="DJ10" s="849"/>
      <c r="DK10" s="849"/>
      <c r="DL10" s="849"/>
      <c r="DM10" s="849"/>
      <c r="DN10" s="849"/>
      <c r="DO10" s="849"/>
      <c r="DP10" s="849"/>
      <c r="DQ10" s="849"/>
      <c r="DR10" s="849"/>
      <c r="DS10" s="849"/>
      <c r="DT10" s="849"/>
      <c r="DU10" s="849"/>
      <c r="DV10" s="849"/>
      <c r="DW10" s="849"/>
      <c r="DX10" s="849"/>
      <c r="DY10" s="849"/>
      <c r="DZ10" s="849"/>
      <c r="EA10" s="849"/>
      <c r="EB10" s="849"/>
      <c r="EC10" s="849"/>
      <c r="ED10" s="849"/>
      <c r="EE10" s="849"/>
      <c r="EF10" s="849"/>
      <c r="EG10" s="849"/>
      <c r="EH10" s="849"/>
      <c r="EI10" s="849"/>
      <c r="EJ10" s="849"/>
      <c r="EK10" s="849"/>
      <c r="EL10" s="849"/>
      <c r="EM10" s="849"/>
      <c r="EN10" s="849"/>
      <c r="EO10" s="849"/>
      <c r="EP10" s="849"/>
      <c r="EQ10" s="849"/>
      <c r="ER10" s="849"/>
      <c r="ES10" s="849"/>
      <c r="ET10" s="849"/>
      <c r="EU10" s="849"/>
      <c r="EV10" s="849"/>
      <c r="EW10" s="849"/>
      <c r="EX10" s="849"/>
      <c r="EY10" s="849"/>
      <c r="EZ10" s="849"/>
      <c r="FA10" s="849"/>
      <c r="FB10" s="849"/>
      <c r="FC10" s="849"/>
      <c r="FD10" s="849"/>
      <c r="FE10" s="849"/>
      <c r="FF10" s="849"/>
      <c r="FG10" s="849"/>
      <c r="FH10" s="849"/>
      <c r="FI10" s="849"/>
      <c r="FJ10" s="849"/>
      <c r="FK10" s="849"/>
      <c r="FL10" s="849"/>
      <c r="FM10" s="849"/>
      <c r="FN10" s="849"/>
      <c r="FO10" s="849"/>
      <c r="FP10" s="849"/>
      <c r="FQ10" s="849"/>
      <c r="FR10" s="849"/>
      <c r="FS10" s="849"/>
      <c r="FT10" s="849"/>
      <c r="FU10" s="849"/>
      <c r="FV10" s="849"/>
      <c r="FW10" s="849"/>
      <c r="FX10" s="849"/>
      <c r="FY10" s="849"/>
      <c r="FZ10" s="849"/>
      <c r="GA10" s="849"/>
      <c r="GB10" s="849"/>
      <c r="GC10" s="849"/>
      <c r="GD10" s="849"/>
      <c r="GE10" s="849"/>
      <c r="GF10" s="849"/>
      <c r="GG10" s="849"/>
      <c r="GH10" s="849"/>
      <c r="GI10" s="849"/>
      <c r="GJ10" s="849"/>
      <c r="GK10" s="849"/>
      <c r="GL10" s="849"/>
      <c r="GM10" s="849"/>
      <c r="GN10" s="849"/>
      <c r="GO10" s="849"/>
      <c r="GP10" s="849"/>
      <c r="GQ10" s="849"/>
      <c r="GR10" s="849"/>
      <c r="GS10" s="849"/>
      <c r="GT10" s="849"/>
      <c r="GU10" s="849"/>
      <c r="GV10" s="849"/>
      <c r="GW10" s="849"/>
      <c r="GX10" s="849"/>
      <c r="GY10" s="849"/>
      <c r="GZ10" s="849"/>
      <c r="HA10" s="849"/>
      <c r="HB10" s="849"/>
      <c r="HC10" s="849"/>
      <c r="HD10" s="849"/>
      <c r="HE10" s="849"/>
      <c r="HF10" s="849"/>
      <c r="HG10" s="849"/>
      <c r="HH10" s="849"/>
      <c r="HI10" s="849"/>
      <c r="HJ10" s="849"/>
      <c r="HK10" s="849"/>
      <c r="HL10" s="849"/>
      <c r="HM10" s="849"/>
      <c r="HN10" s="849"/>
      <c r="HO10" s="849"/>
      <c r="HP10" s="849"/>
      <c r="HQ10" s="849"/>
      <c r="HR10" s="849"/>
      <c r="HS10" s="849"/>
      <c r="HT10" s="849"/>
      <c r="HU10" s="849"/>
      <c r="HV10" s="849"/>
      <c r="HW10" s="849"/>
      <c r="HX10" s="849"/>
      <c r="HY10" s="849"/>
      <c r="HZ10" s="849"/>
      <c r="IA10" s="849"/>
      <c r="IB10" s="849"/>
      <c r="IC10" s="849"/>
      <c r="ID10" s="849"/>
      <c r="IE10" s="849"/>
      <c r="IF10" s="849"/>
      <c r="IG10" s="849"/>
      <c r="IH10" s="849"/>
      <c r="II10" s="849"/>
      <c r="IJ10" s="849"/>
      <c r="IK10" s="849"/>
      <c r="IL10" s="849"/>
      <c r="IM10" s="849"/>
      <c r="IN10" s="849"/>
      <c r="IO10" s="849"/>
      <c r="IP10" s="849"/>
      <c r="IQ10" s="849"/>
      <c r="IR10" s="849"/>
      <c r="IS10" s="849"/>
      <c r="IT10" s="849"/>
    </row>
    <row r="11" spans="1:254" s="857" customFormat="1" ht="21.75" customHeight="1" x14ac:dyDescent="0.2">
      <c r="A11" s="863"/>
      <c r="B11" s="863"/>
      <c r="C11" s="863"/>
      <c r="D11" s="862"/>
      <c r="E11" s="862"/>
      <c r="F11" s="862"/>
      <c r="G11" s="862"/>
      <c r="H11" s="861"/>
      <c r="I11" s="63"/>
      <c r="J11" s="63"/>
      <c r="K11" s="858"/>
      <c r="L11" s="858"/>
      <c r="M11" s="858"/>
      <c r="N11" s="858"/>
      <c r="O11" s="858"/>
      <c r="P11" s="858"/>
      <c r="Q11" s="858"/>
      <c r="R11" s="849"/>
      <c r="S11" s="849"/>
      <c r="T11" s="849"/>
      <c r="U11" s="849"/>
      <c r="V11" s="849"/>
      <c r="W11" s="849"/>
      <c r="X11" s="849"/>
      <c r="Y11" s="849"/>
      <c r="Z11" s="849"/>
      <c r="AA11" s="849"/>
      <c r="AB11" s="849"/>
      <c r="AC11" s="849"/>
      <c r="AD11" s="849"/>
      <c r="AE11" s="849"/>
      <c r="AF11" s="849"/>
      <c r="AG11" s="849"/>
      <c r="AH11" s="849"/>
      <c r="AI11" s="849"/>
      <c r="AJ11" s="849"/>
      <c r="AK11" s="849"/>
      <c r="AL11" s="849"/>
      <c r="AM11" s="849"/>
      <c r="AN11" s="849"/>
      <c r="AO11" s="849"/>
      <c r="AP11" s="849"/>
      <c r="AQ11" s="849"/>
      <c r="AR11" s="849"/>
      <c r="AS11" s="849"/>
      <c r="AT11" s="849"/>
      <c r="AU11" s="849"/>
      <c r="AV11" s="849"/>
      <c r="AW11" s="849"/>
      <c r="AX11" s="849"/>
      <c r="AY11" s="849"/>
      <c r="AZ11" s="849"/>
      <c r="BA11" s="849"/>
      <c r="BB11" s="849"/>
      <c r="BC11" s="849"/>
      <c r="BD11" s="849"/>
      <c r="BE11" s="849"/>
      <c r="BF11" s="849"/>
      <c r="BG11" s="849"/>
      <c r="BH11" s="849"/>
      <c r="BI11" s="849"/>
      <c r="BJ11" s="849"/>
      <c r="BK11" s="849"/>
      <c r="BL11" s="849"/>
      <c r="BM11" s="849"/>
      <c r="BN11" s="849"/>
      <c r="BO11" s="849"/>
      <c r="BP11" s="849"/>
      <c r="BQ11" s="849"/>
      <c r="BR11" s="849"/>
      <c r="BS11" s="849"/>
      <c r="BT11" s="849"/>
      <c r="BU11" s="849"/>
      <c r="BV11" s="849"/>
      <c r="BW11" s="849"/>
      <c r="BX11" s="849"/>
      <c r="BY11" s="849"/>
      <c r="BZ11" s="849"/>
      <c r="CA11" s="849"/>
      <c r="CB11" s="849"/>
      <c r="CC11" s="849"/>
      <c r="CD11" s="849"/>
      <c r="CE11" s="849"/>
      <c r="CF11" s="849"/>
      <c r="CG11" s="849"/>
      <c r="CH11" s="849"/>
      <c r="CI11" s="849"/>
      <c r="CJ11" s="849"/>
      <c r="CK11" s="849"/>
      <c r="CL11" s="849"/>
      <c r="CM11" s="849"/>
      <c r="CN11" s="849"/>
      <c r="CO11" s="849"/>
      <c r="CP11" s="849"/>
      <c r="CQ11" s="849"/>
      <c r="CR11" s="849"/>
      <c r="CS11" s="849"/>
      <c r="CT11" s="849"/>
      <c r="CU11" s="849"/>
      <c r="CV11" s="849"/>
      <c r="CW11" s="849"/>
      <c r="CX11" s="849"/>
      <c r="CY11" s="849"/>
      <c r="CZ11" s="849"/>
      <c r="DA11" s="849"/>
      <c r="DB11" s="849"/>
      <c r="DC11" s="849"/>
      <c r="DD11" s="849"/>
      <c r="DE11" s="849"/>
      <c r="DF11" s="849"/>
      <c r="DG11" s="849"/>
      <c r="DH11" s="849"/>
      <c r="DI11" s="849"/>
      <c r="DJ11" s="849"/>
      <c r="DK11" s="849"/>
      <c r="DL11" s="849"/>
      <c r="DM11" s="849"/>
      <c r="DN11" s="849"/>
      <c r="DO11" s="849"/>
      <c r="DP11" s="849"/>
      <c r="DQ11" s="849"/>
      <c r="DR11" s="849"/>
      <c r="DS11" s="849"/>
      <c r="DT11" s="849"/>
      <c r="DU11" s="849"/>
      <c r="DV11" s="849"/>
      <c r="DW11" s="849"/>
      <c r="DX11" s="849"/>
      <c r="DY11" s="849"/>
      <c r="DZ11" s="849"/>
      <c r="EA11" s="849"/>
      <c r="EB11" s="849"/>
      <c r="EC11" s="849"/>
      <c r="ED11" s="849"/>
      <c r="EE11" s="849"/>
      <c r="EF11" s="849"/>
      <c r="EG11" s="849"/>
      <c r="EH11" s="849"/>
      <c r="EI11" s="849"/>
      <c r="EJ11" s="849"/>
      <c r="EK11" s="849"/>
      <c r="EL11" s="849"/>
      <c r="EM11" s="849"/>
      <c r="EN11" s="849"/>
      <c r="EO11" s="849"/>
      <c r="EP11" s="849"/>
      <c r="EQ11" s="849"/>
      <c r="ER11" s="849"/>
      <c r="ES11" s="849"/>
      <c r="ET11" s="849"/>
      <c r="EU11" s="849"/>
      <c r="EV11" s="849"/>
      <c r="EW11" s="849"/>
      <c r="EX11" s="849"/>
      <c r="EY11" s="849"/>
      <c r="EZ11" s="849"/>
      <c r="FA11" s="849"/>
      <c r="FB11" s="849"/>
      <c r="FC11" s="849"/>
      <c r="FD11" s="849"/>
      <c r="FE11" s="849"/>
      <c r="FF11" s="849"/>
      <c r="FG11" s="849"/>
      <c r="FH11" s="849"/>
      <c r="FI11" s="849"/>
      <c r="FJ11" s="849"/>
      <c r="FK11" s="849"/>
      <c r="FL11" s="849"/>
      <c r="FM11" s="849"/>
      <c r="FN11" s="849"/>
      <c r="FO11" s="849"/>
      <c r="FP11" s="849"/>
      <c r="FQ11" s="849"/>
      <c r="FR11" s="849"/>
      <c r="FS11" s="849"/>
      <c r="FT11" s="849"/>
      <c r="FU11" s="849"/>
      <c r="FV11" s="849"/>
      <c r="FW11" s="849"/>
      <c r="FX11" s="849"/>
      <c r="FY11" s="849"/>
      <c r="FZ11" s="849"/>
      <c r="GA11" s="849"/>
      <c r="GB11" s="849"/>
      <c r="GC11" s="849"/>
      <c r="GD11" s="849"/>
      <c r="GE11" s="849"/>
      <c r="GF11" s="849"/>
      <c r="GG11" s="849"/>
      <c r="GH11" s="849"/>
      <c r="GI11" s="849"/>
      <c r="GJ11" s="849"/>
      <c r="GK11" s="849"/>
      <c r="GL11" s="849"/>
      <c r="GM11" s="849"/>
      <c r="GN11" s="849"/>
      <c r="GO11" s="849"/>
      <c r="GP11" s="849"/>
      <c r="GQ11" s="849"/>
      <c r="GR11" s="849"/>
      <c r="GS11" s="849"/>
      <c r="GT11" s="849"/>
      <c r="GU11" s="849"/>
      <c r="GV11" s="849"/>
      <c r="GW11" s="849"/>
      <c r="GX11" s="849"/>
      <c r="GY11" s="849"/>
      <c r="GZ11" s="849"/>
      <c r="HA11" s="849"/>
      <c r="HB11" s="849"/>
      <c r="HC11" s="849"/>
      <c r="HD11" s="849"/>
      <c r="HE11" s="849"/>
      <c r="HF11" s="849"/>
      <c r="HG11" s="849"/>
      <c r="HH11" s="849"/>
      <c r="HI11" s="849"/>
      <c r="HJ11" s="849"/>
      <c r="HK11" s="849"/>
      <c r="HL11" s="849"/>
      <c r="HM11" s="849"/>
      <c r="HN11" s="849"/>
      <c r="HO11" s="849"/>
      <c r="HP11" s="849"/>
      <c r="HQ11" s="849"/>
      <c r="HR11" s="849"/>
      <c r="HS11" s="849"/>
      <c r="HT11" s="849"/>
      <c r="HU11" s="849"/>
      <c r="HV11" s="849"/>
      <c r="HW11" s="849"/>
      <c r="HX11" s="849"/>
      <c r="HY11" s="849"/>
      <c r="HZ11" s="849"/>
      <c r="IA11" s="849"/>
      <c r="IB11" s="849"/>
      <c r="IC11" s="849"/>
      <c r="ID11" s="849"/>
      <c r="IE11" s="849"/>
      <c r="IF11" s="849"/>
      <c r="IG11" s="849"/>
      <c r="IH11" s="849"/>
      <c r="II11" s="849"/>
      <c r="IJ11" s="849"/>
      <c r="IK11" s="849"/>
      <c r="IL11" s="849"/>
      <c r="IM11" s="849"/>
      <c r="IN11" s="849"/>
      <c r="IO11" s="849"/>
      <c r="IP11" s="849"/>
      <c r="IQ11" s="849"/>
      <c r="IR11" s="849"/>
      <c r="IS11" s="849"/>
      <c r="IT11" s="849"/>
    </row>
    <row r="12" spans="1:254" s="857" customFormat="1" ht="18" customHeight="1" x14ac:dyDescent="0.25">
      <c r="A12" s="98" t="s">
        <v>223</v>
      </c>
      <c r="B12" s="861"/>
      <c r="C12" s="861"/>
      <c r="D12" s="861"/>
      <c r="E12" s="861"/>
      <c r="F12" s="861"/>
      <c r="G12" s="861"/>
      <c r="H12" s="861"/>
      <c r="I12" s="861"/>
      <c r="J12" s="861"/>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3"/>
      <c r="AK12" s="723"/>
      <c r="AL12" s="723"/>
      <c r="AM12" s="723"/>
      <c r="AN12" s="723"/>
      <c r="AO12" s="723"/>
      <c r="AP12" s="723"/>
      <c r="AQ12" s="723"/>
      <c r="AR12" s="723"/>
      <c r="AS12" s="723"/>
      <c r="AT12" s="723"/>
      <c r="AU12" s="723"/>
      <c r="AV12" s="723"/>
      <c r="AW12" s="723"/>
      <c r="AX12" s="723"/>
      <c r="AY12" s="723"/>
      <c r="AZ12" s="723"/>
      <c r="BA12" s="723"/>
      <c r="BB12" s="723"/>
      <c r="BC12" s="723"/>
      <c r="BD12" s="723"/>
      <c r="BE12" s="723"/>
      <c r="BF12" s="723"/>
      <c r="BG12" s="723"/>
      <c r="BH12" s="723"/>
      <c r="BI12" s="723"/>
      <c r="BJ12" s="723"/>
      <c r="BK12" s="723"/>
      <c r="BL12" s="723"/>
      <c r="BM12" s="723"/>
      <c r="BN12" s="723"/>
      <c r="BO12" s="723"/>
      <c r="BP12" s="723"/>
      <c r="BQ12" s="723"/>
      <c r="BR12" s="723"/>
      <c r="BS12" s="723"/>
      <c r="BT12" s="723"/>
      <c r="BU12" s="723"/>
      <c r="BV12" s="723"/>
      <c r="BW12" s="723"/>
      <c r="BX12" s="723"/>
      <c r="BY12" s="723"/>
      <c r="BZ12" s="723"/>
      <c r="CA12" s="723"/>
      <c r="CB12" s="723"/>
      <c r="CC12" s="723"/>
      <c r="CD12" s="723"/>
      <c r="CE12" s="723"/>
      <c r="CF12" s="723"/>
      <c r="CG12" s="723"/>
      <c r="CH12" s="723"/>
      <c r="CI12" s="723"/>
      <c r="CJ12" s="723"/>
      <c r="CK12" s="723"/>
      <c r="CL12" s="723"/>
      <c r="CM12" s="723"/>
      <c r="CN12" s="723"/>
      <c r="CO12" s="723"/>
      <c r="CP12" s="723"/>
      <c r="CQ12" s="723"/>
      <c r="CR12" s="723"/>
      <c r="CS12" s="723"/>
      <c r="CT12" s="723"/>
      <c r="CU12" s="723"/>
      <c r="CV12" s="723"/>
      <c r="CW12" s="723"/>
      <c r="CX12" s="723"/>
      <c r="CY12" s="723"/>
      <c r="CZ12" s="723"/>
      <c r="DA12" s="723"/>
      <c r="DB12" s="723"/>
      <c r="DC12" s="723"/>
      <c r="DD12" s="723"/>
      <c r="DE12" s="723"/>
      <c r="DF12" s="723"/>
      <c r="DG12" s="723"/>
      <c r="DH12" s="723"/>
      <c r="DI12" s="723"/>
      <c r="DJ12" s="723"/>
      <c r="DK12" s="723"/>
      <c r="DL12" s="723"/>
      <c r="DM12" s="723"/>
      <c r="DN12" s="723"/>
      <c r="DO12" s="723"/>
      <c r="DP12" s="723"/>
      <c r="DQ12" s="723"/>
      <c r="DR12" s="723"/>
      <c r="DS12" s="723"/>
      <c r="DT12" s="723"/>
      <c r="DU12" s="723"/>
      <c r="DV12" s="723"/>
      <c r="DW12" s="723"/>
      <c r="DX12" s="723"/>
      <c r="DY12" s="723"/>
      <c r="DZ12" s="723"/>
      <c r="EA12" s="723"/>
      <c r="EB12" s="723"/>
      <c r="EC12" s="723"/>
      <c r="ED12" s="723"/>
      <c r="EE12" s="723"/>
      <c r="EF12" s="723"/>
      <c r="EG12" s="723"/>
      <c r="EH12" s="723"/>
      <c r="EI12" s="723"/>
      <c r="EJ12" s="723"/>
      <c r="EK12" s="723"/>
      <c r="EL12" s="723"/>
      <c r="EM12" s="723"/>
      <c r="EN12" s="723"/>
      <c r="EO12" s="723"/>
      <c r="EP12" s="723"/>
      <c r="EQ12" s="723"/>
      <c r="ER12" s="723"/>
      <c r="ES12" s="723"/>
      <c r="ET12" s="723"/>
      <c r="EU12" s="723"/>
      <c r="EV12" s="723"/>
      <c r="EW12" s="723"/>
      <c r="EX12" s="723"/>
      <c r="EY12" s="723"/>
      <c r="EZ12" s="723"/>
      <c r="FA12" s="723"/>
      <c r="FB12" s="723"/>
      <c r="FC12" s="723"/>
      <c r="FD12" s="723"/>
      <c r="FE12" s="723"/>
      <c r="FF12" s="723"/>
      <c r="FG12" s="723"/>
      <c r="FH12" s="723"/>
      <c r="FI12" s="723"/>
      <c r="FJ12" s="723"/>
      <c r="FK12" s="723"/>
      <c r="FL12" s="723"/>
      <c r="FM12" s="723"/>
      <c r="FN12" s="723"/>
      <c r="FO12" s="723"/>
      <c r="FP12" s="723"/>
      <c r="FQ12" s="723"/>
      <c r="FR12" s="723"/>
      <c r="FS12" s="723"/>
      <c r="FT12" s="723"/>
      <c r="FU12" s="723"/>
      <c r="FV12" s="723"/>
      <c r="FW12" s="723"/>
      <c r="FX12" s="723"/>
      <c r="FY12" s="723"/>
      <c r="FZ12" s="723"/>
      <c r="GA12" s="723"/>
      <c r="GB12" s="723"/>
      <c r="GC12" s="723"/>
      <c r="GD12" s="723"/>
      <c r="GE12" s="723"/>
      <c r="GF12" s="723"/>
      <c r="GG12" s="723"/>
      <c r="GH12" s="723"/>
      <c r="GI12" s="723"/>
      <c r="GJ12" s="723"/>
      <c r="GK12" s="723"/>
      <c r="GL12" s="723"/>
      <c r="GM12" s="723"/>
      <c r="GN12" s="723"/>
      <c r="GO12" s="723"/>
      <c r="GP12" s="723"/>
      <c r="GQ12" s="723"/>
      <c r="GR12" s="723"/>
      <c r="GS12" s="723"/>
      <c r="GT12" s="723"/>
      <c r="GU12" s="723"/>
      <c r="GV12" s="723"/>
      <c r="GW12" s="723"/>
      <c r="GX12" s="723"/>
      <c r="GY12" s="723"/>
      <c r="GZ12" s="723"/>
      <c r="HA12" s="723"/>
      <c r="HB12" s="723"/>
      <c r="HC12" s="723"/>
      <c r="HD12" s="723"/>
      <c r="HE12" s="723"/>
      <c r="HF12" s="723"/>
      <c r="HG12" s="723"/>
      <c r="HH12" s="723"/>
      <c r="HI12" s="723"/>
      <c r="HJ12" s="723"/>
      <c r="HK12" s="723"/>
      <c r="HL12" s="723"/>
      <c r="HM12" s="723"/>
      <c r="HN12" s="723"/>
      <c r="HO12" s="723"/>
      <c r="HP12" s="723"/>
      <c r="HQ12" s="723"/>
      <c r="HR12" s="723"/>
      <c r="HS12" s="723"/>
      <c r="HT12" s="723"/>
      <c r="HU12" s="723"/>
      <c r="HV12" s="723"/>
      <c r="HW12" s="723"/>
      <c r="HX12" s="723"/>
      <c r="HY12" s="723"/>
      <c r="HZ12" s="723"/>
      <c r="IA12" s="723"/>
      <c r="IB12" s="723"/>
      <c r="IC12" s="723"/>
      <c r="ID12" s="723"/>
      <c r="IE12" s="723"/>
      <c r="IF12" s="723"/>
      <c r="IG12" s="723"/>
      <c r="IH12" s="723"/>
      <c r="II12" s="723"/>
      <c r="IJ12" s="723"/>
      <c r="IK12" s="723"/>
      <c r="IL12" s="723"/>
      <c r="IM12" s="723"/>
      <c r="IN12" s="723"/>
      <c r="IO12" s="723"/>
      <c r="IP12" s="723"/>
      <c r="IQ12" s="723"/>
      <c r="IR12" s="723"/>
    </row>
    <row r="13" spans="1:254" s="857" customFormat="1" ht="15" customHeight="1" x14ac:dyDescent="0.2">
      <c r="A13" s="2458" t="s">
        <v>319</v>
      </c>
      <c r="B13" s="2168"/>
      <c r="C13" s="2167"/>
      <c r="D13" s="54" t="s">
        <v>590</v>
      </c>
      <c r="E13" s="1063"/>
      <c r="F13" s="5" t="s">
        <v>608</v>
      </c>
      <c r="G13" s="1064"/>
      <c r="H13" s="860"/>
      <c r="I13" s="63"/>
      <c r="J13" s="63"/>
      <c r="K13" s="858"/>
      <c r="L13" s="858"/>
      <c r="M13" s="858"/>
      <c r="N13" s="858"/>
      <c r="O13" s="858"/>
      <c r="P13" s="858"/>
      <c r="Q13" s="858"/>
      <c r="R13" s="849"/>
      <c r="S13" s="849"/>
      <c r="T13" s="849"/>
      <c r="U13" s="849"/>
      <c r="V13" s="849"/>
      <c r="W13" s="849"/>
      <c r="X13" s="849"/>
      <c r="Y13" s="849"/>
      <c r="Z13" s="849"/>
      <c r="AA13" s="849"/>
      <c r="AB13" s="849"/>
      <c r="AC13" s="849"/>
      <c r="AD13" s="849"/>
      <c r="AE13" s="849"/>
      <c r="AF13" s="849"/>
      <c r="AG13" s="849"/>
      <c r="AH13" s="849"/>
      <c r="AI13" s="849"/>
      <c r="AJ13" s="849"/>
      <c r="AK13" s="849"/>
      <c r="AL13" s="849"/>
      <c r="AM13" s="849"/>
      <c r="AN13" s="849"/>
      <c r="AO13" s="849"/>
      <c r="AP13" s="849"/>
      <c r="AQ13" s="849"/>
      <c r="AR13" s="849"/>
      <c r="AS13" s="849"/>
      <c r="AT13" s="849"/>
      <c r="AU13" s="849"/>
      <c r="AV13" s="849"/>
      <c r="AW13" s="849"/>
      <c r="AX13" s="849"/>
      <c r="AY13" s="849"/>
      <c r="AZ13" s="849"/>
      <c r="BA13" s="849"/>
      <c r="BB13" s="849"/>
      <c r="BC13" s="849"/>
      <c r="BD13" s="849"/>
      <c r="BE13" s="849"/>
      <c r="BF13" s="849"/>
      <c r="BG13" s="849"/>
      <c r="BH13" s="849"/>
      <c r="BI13" s="849"/>
      <c r="BJ13" s="849"/>
      <c r="BK13" s="849"/>
      <c r="BL13" s="849"/>
      <c r="BM13" s="849"/>
      <c r="BN13" s="849"/>
      <c r="BO13" s="849"/>
      <c r="BP13" s="849"/>
      <c r="BQ13" s="849"/>
      <c r="BR13" s="849"/>
      <c r="BS13" s="849"/>
      <c r="BT13" s="849"/>
      <c r="BU13" s="849"/>
      <c r="BV13" s="849"/>
      <c r="BW13" s="849"/>
      <c r="BX13" s="849"/>
      <c r="BY13" s="849"/>
      <c r="BZ13" s="849"/>
      <c r="CA13" s="849"/>
      <c r="CB13" s="849"/>
      <c r="CC13" s="849"/>
      <c r="CD13" s="849"/>
      <c r="CE13" s="849"/>
      <c r="CF13" s="849"/>
      <c r="CG13" s="849"/>
      <c r="CH13" s="849"/>
      <c r="CI13" s="849"/>
      <c r="CJ13" s="849"/>
      <c r="CK13" s="849"/>
      <c r="CL13" s="849"/>
      <c r="CM13" s="849"/>
      <c r="CN13" s="849"/>
      <c r="CO13" s="849"/>
      <c r="CP13" s="849"/>
      <c r="CQ13" s="849"/>
      <c r="CR13" s="849"/>
      <c r="CS13" s="849"/>
      <c r="CT13" s="849"/>
      <c r="CU13" s="849"/>
      <c r="CV13" s="849"/>
      <c r="CW13" s="849"/>
      <c r="CX13" s="849"/>
      <c r="CY13" s="849"/>
      <c r="CZ13" s="849"/>
      <c r="DA13" s="849"/>
      <c r="DB13" s="849"/>
      <c r="DC13" s="849"/>
      <c r="DD13" s="849"/>
      <c r="DE13" s="849"/>
      <c r="DF13" s="849"/>
      <c r="DG13" s="849"/>
      <c r="DH13" s="849"/>
      <c r="DI13" s="849"/>
      <c r="DJ13" s="849"/>
      <c r="DK13" s="849"/>
      <c r="DL13" s="849"/>
      <c r="DM13" s="849"/>
      <c r="DN13" s="849"/>
      <c r="DO13" s="849"/>
      <c r="DP13" s="849"/>
      <c r="DQ13" s="849"/>
      <c r="DR13" s="849"/>
      <c r="DS13" s="849"/>
      <c r="DT13" s="849"/>
      <c r="DU13" s="849"/>
      <c r="DV13" s="849"/>
      <c r="DW13" s="849"/>
      <c r="DX13" s="849"/>
      <c r="DY13" s="849"/>
      <c r="DZ13" s="849"/>
      <c r="EA13" s="849"/>
      <c r="EB13" s="849"/>
      <c r="EC13" s="849"/>
      <c r="ED13" s="849"/>
      <c r="EE13" s="849"/>
      <c r="EF13" s="849"/>
      <c r="EG13" s="849"/>
      <c r="EH13" s="849"/>
      <c r="EI13" s="849"/>
      <c r="EJ13" s="849"/>
      <c r="EK13" s="849"/>
      <c r="EL13" s="849"/>
      <c r="EM13" s="849"/>
      <c r="EN13" s="849"/>
      <c r="EO13" s="849"/>
      <c r="EP13" s="849"/>
      <c r="EQ13" s="849"/>
      <c r="ER13" s="849"/>
      <c r="ES13" s="849"/>
      <c r="ET13" s="849"/>
      <c r="EU13" s="849"/>
      <c r="EV13" s="849"/>
      <c r="EW13" s="849"/>
      <c r="EX13" s="849"/>
      <c r="EY13" s="849"/>
      <c r="EZ13" s="849"/>
      <c r="FA13" s="849"/>
      <c r="FB13" s="849"/>
      <c r="FC13" s="849"/>
      <c r="FD13" s="849"/>
      <c r="FE13" s="849"/>
      <c r="FF13" s="849"/>
      <c r="FG13" s="849"/>
      <c r="FH13" s="849"/>
      <c r="FI13" s="849"/>
      <c r="FJ13" s="849"/>
      <c r="FK13" s="849"/>
      <c r="FL13" s="849"/>
      <c r="FM13" s="849"/>
      <c r="FN13" s="849"/>
      <c r="FO13" s="849"/>
      <c r="FP13" s="849"/>
      <c r="FQ13" s="849"/>
      <c r="FR13" s="849"/>
      <c r="FS13" s="849"/>
      <c r="FT13" s="849"/>
      <c r="FU13" s="849"/>
      <c r="FV13" s="849"/>
      <c r="FW13" s="849"/>
      <c r="FX13" s="849"/>
      <c r="FY13" s="849"/>
      <c r="FZ13" s="849"/>
      <c r="GA13" s="849"/>
      <c r="GB13" s="849"/>
      <c r="GC13" s="849"/>
      <c r="GD13" s="849"/>
      <c r="GE13" s="849"/>
      <c r="GF13" s="849"/>
      <c r="GG13" s="849"/>
      <c r="GH13" s="849"/>
      <c r="GI13" s="849"/>
      <c r="GJ13" s="849"/>
      <c r="GK13" s="849"/>
      <c r="GL13" s="849"/>
      <c r="GM13" s="849"/>
      <c r="GN13" s="849"/>
      <c r="GO13" s="849"/>
      <c r="GP13" s="849"/>
      <c r="GQ13" s="849"/>
      <c r="GR13" s="849"/>
      <c r="GS13" s="849"/>
      <c r="GT13" s="849"/>
      <c r="GU13" s="849"/>
      <c r="GV13" s="849"/>
      <c r="GW13" s="849"/>
      <c r="GX13" s="849"/>
      <c r="GY13" s="849"/>
      <c r="GZ13" s="849"/>
      <c r="HA13" s="849"/>
      <c r="HB13" s="849"/>
      <c r="HC13" s="849"/>
      <c r="HD13" s="849"/>
      <c r="HE13" s="849"/>
      <c r="HF13" s="849"/>
      <c r="HG13" s="849"/>
      <c r="HH13" s="849"/>
      <c r="HI13" s="849"/>
      <c r="HJ13" s="849"/>
      <c r="HK13" s="849"/>
      <c r="HL13" s="849"/>
      <c r="HM13" s="849"/>
      <c r="HN13" s="849"/>
      <c r="HO13" s="849"/>
      <c r="HP13" s="849"/>
      <c r="HQ13" s="849"/>
      <c r="HR13" s="849"/>
      <c r="HS13" s="849"/>
      <c r="HT13" s="849"/>
      <c r="HU13" s="849"/>
      <c r="HV13" s="849"/>
      <c r="HW13" s="849"/>
      <c r="HX13" s="849"/>
      <c r="HY13" s="849"/>
      <c r="HZ13" s="849"/>
      <c r="IA13" s="849"/>
      <c r="IB13" s="849"/>
      <c r="IC13" s="849"/>
      <c r="ID13" s="849"/>
      <c r="IE13" s="849"/>
      <c r="IF13" s="849"/>
      <c r="IG13" s="849"/>
      <c r="IH13" s="849"/>
      <c r="II13" s="849"/>
      <c r="IJ13" s="849"/>
      <c r="IK13" s="849"/>
      <c r="IL13" s="849"/>
      <c r="IM13" s="849"/>
      <c r="IN13" s="849"/>
      <c r="IO13" s="849"/>
      <c r="IP13" s="849"/>
      <c r="IQ13" s="849"/>
      <c r="IR13" s="849"/>
      <c r="IS13" s="849"/>
      <c r="IT13" s="849"/>
    </row>
    <row r="14" spans="1:254" s="857" customFormat="1" ht="15" customHeight="1" thickBot="1" x14ac:dyDescent="0.25">
      <c r="A14" s="2459" t="s">
        <v>204</v>
      </c>
      <c r="B14" s="2460"/>
      <c r="C14" s="2461"/>
      <c r="D14" s="54" t="s">
        <v>590</v>
      </c>
      <c r="E14" s="1063"/>
      <c r="F14" s="5" t="s">
        <v>608</v>
      </c>
      <c r="G14" s="1064"/>
      <c r="H14" s="859"/>
      <c r="I14" s="63"/>
      <c r="J14" s="63"/>
      <c r="K14" s="858"/>
      <c r="L14" s="858"/>
      <c r="M14" s="858"/>
      <c r="N14" s="858"/>
      <c r="O14" s="858"/>
      <c r="P14" s="858"/>
      <c r="Q14" s="858"/>
      <c r="R14" s="849"/>
      <c r="S14" s="849"/>
      <c r="T14" s="849"/>
      <c r="U14" s="849"/>
      <c r="V14" s="849"/>
      <c r="W14" s="849"/>
      <c r="X14" s="849"/>
      <c r="Y14" s="849"/>
      <c r="Z14" s="849"/>
      <c r="AA14" s="849"/>
      <c r="AB14" s="849"/>
      <c r="AC14" s="849"/>
      <c r="AD14" s="849"/>
      <c r="AE14" s="849"/>
      <c r="AF14" s="849"/>
      <c r="AG14" s="849"/>
      <c r="AH14" s="849"/>
      <c r="AI14" s="849"/>
      <c r="AJ14" s="849"/>
      <c r="AK14" s="849"/>
      <c r="AL14" s="849"/>
      <c r="AM14" s="849"/>
      <c r="AN14" s="849"/>
      <c r="AO14" s="849"/>
      <c r="AP14" s="849"/>
      <c r="AQ14" s="849"/>
      <c r="AR14" s="849"/>
      <c r="AS14" s="849"/>
      <c r="AT14" s="849"/>
      <c r="AU14" s="849"/>
      <c r="AV14" s="849"/>
      <c r="AW14" s="849"/>
      <c r="AX14" s="849"/>
      <c r="AY14" s="849"/>
      <c r="AZ14" s="849"/>
      <c r="BA14" s="849"/>
      <c r="BB14" s="849"/>
      <c r="BC14" s="849"/>
      <c r="BD14" s="849"/>
      <c r="BE14" s="849"/>
      <c r="BF14" s="849"/>
      <c r="BG14" s="849"/>
      <c r="BH14" s="849"/>
      <c r="BI14" s="849"/>
      <c r="BJ14" s="849"/>
      <c r="BK14" s="849"/>
      <c r="BL14" s="849"/>
      <c r="BM14" s="849"/>
      <c r="BN14" s="849"/>
      <c r="BO14" s="849"/>
      <c r="BP14" s="849"/>
      <c r="BQ14" s="849"/>
      <c r="BR14" s="849"/>
      <c r="BS14" s="849"/>
      <c r="BT14" s="849"/>
      <c r="BU14" s="849"/>
      <c r="BV14" s="849"/>
      <c r="BW14" s="849"/>
      <c r="BX14" s="849"/>
      <c r="BY14" s="849"/>
      <c r="BZ14" s="849"/>
      <c r="CA14" s="849"/>
      <c r="CB14" s="849"/>
      <c r="CC14" s="849"/>
      <c r="CD14" s="849"/>
      <c r="CE14" s="849"/>
      <c r="CF14" s="849"/>
      <c r="CG14" s="849"/>
      <c r="CH14" s="849"/>
      <c r="CI14" s="849"/>
      <c r="CJ14" s="849"/>
      <c r="CK14" s="849"/>
      <c r="CL14" s="849"/>
      <c r="CM14" s="849"/>
      <c r="CN14" s="849"/>
      <c r="CO14" s="849"/>
      <c r="CP14" s="849"/>
      <c r="CQ14" s="849"/>
      <c r="CR14" s="849"/>
      <c r="CS14" s="849"/>
      <c r="CT14" s="849"/>
      <c r="CU14" s="849"/>
      <c r="CV14" s="849"/>
      <c r="CW14" s="849"/>
      <c r="CX14" s="849"/>
      <c r="CY14" s="849"/>
      <c r="CZ14" s="849"/>
      <c r="DA14" s="849"/>
      <c r="DB14" s="849"/>
      <c r="DC14" s="849"/>
      <c r="DD14" s="849"/>
      <c r="DE14" s="849"/>
      <c r="DF14" s="849"/>
      <c r="DG14" s="849"/>
      <c r="DH14" s="849"/>
      <c r="DI14" s="849"/>
      <c r="DJ14" s="849"/>
      <c r="DK14" s="849"/>
      <c r="DL14" s="849"/>
      <c r="DM14" s="849"/>
      <c r="DN14" s="849"/>
      <c r="DO14" s="849"/>
      <c r="DP14" s="849"/>
      <c r="DQ14" s="849"/>
      <c r="DR14" s="849"/>
      <c r="DS14" s="849"/>
      <c r="DT14" s="849"/>
      <c r="DU14" s="849"/>
      <c r="DV14" s="849"/>
      <c r="DW14" s="849"/>
      <c r="DX14" s="849"/>
      <c r="DY14" s="849"/>
      <c r="DZ14" s="849"/>
      <c r="EA14" s="849"/>
      <c r="EB14" s="849"/>
      <c r="EC14" s="849"/>
      <c r="ED14" s="849"/>
      <c r="EE14" s="849"/>
      <c r="EF14" s="849"/>
      <c r="EG14" s="849"/>
      <c r="EH14" s="849"/>
      <c r="EI14" s="849"/>
      <c r="EJ14" s="849"/>
      <c r="EK14" s="849"/>
      <c r="EL14" s="849"/>
      <c r="EM14" s="849"/>
      <c r="EN14" s="849"/>
      <c r="EO14" s="849"/>
      <c r="EP14" s="849"/>
      <c r="EQ14" s="849"/>
      <c r="ER14" s="849"/>
      <c r="ES14" s="849"/>
      <c r="ET14" s="849"/>
      <c r="EU14" s="849"/>
      <c r="EV14" s="849"/>
      <c r="EW14" s="849"/>
      <c r="EX14" s="849"/>
      <c r="EY14" s="849"/>
      <c r="EZ14" s="849"/>
      <c r="FA14" s="849"/>
      <c r="FB14" s="849"/>
      <c r="FC14" s="849"/>
      <c r="FD14" s="849"/>
      <c r="FE14" s="849"/>
      <c r="FF14" s="849"/>
      <c r="FG14" s="849"/>
      <c r="FH14" s="849"/>
      <c r="FI14" s="849"/>
      <c r="FJ14" s="849"/>
      <c r="FK14" s="849"/>
      <c r="FL14" s="849"/>
      <c r="FM14" s="849"/>
      <c r="FN14" s="849"/>
      <c r="FO14" s="849"/>
      <c r="FP14" s="849"/>
      <c r="FQ14" s="849"/>
      <c r="FR14" s="849"/>
      <c r="FS14" s="849"/>
      <c r="FT14" s="849"/>
      <c r="FU14" s="849"/>
      <c r="FV14" s="849"/>
      <c r="FW14" s="849"/>
      <c r="FX14" s="849"/>
      <c r="FY14" s="849"/>
      <c r="FZ14" s="849"/>
      <c r="GA14" s="849"/>
      <c r="GB14" s="849"/>
      <c r="GC14" s="849"/>
      <c r="GD14" s="849"/>
      <c r="GE14" s="849"/>
      <c r="GF14" s="849"/>
      <c r="GG14" s="849"/>
      <c r="GH14" s="849"/>
      <c r="GI14" s="849"/>
      <c r="GJ14" s="849"/>
      <c r="GK14" s="849"/>
      <c r="GL14" s="849"/>
      <c r="GM14" s="849"/>
      <c r="GN14" s="849"/>
      <c r="GO14" s="849"/>
      <c r="GP14" s="849"/>
      <c r="GQ14" s="849"/>
      <c r="GR14" s="849"/>
      <c r="GS14" s="849"/>
      <c r="GT14" s="849"/>
      <c r="GU14" s="849"/>
      <c r="GV14" s="849"/>
      <c r="GW14" s="849"/>
      <c r="GX14" s="849"/>
      <c r="GY14" s="849"/>
      <c r="GZ14" s="849"/>
      <c r="HA14" s="849"/>
      <c r="HB14" s="849"/>
      <c r="HC14" s="849"/>
      <c r="HD14" s="849"/>
      <c r="HE14" s="849"/>
      <c r="HF14" s="849"/>
      <c r="HG14" s="849"/>
      <c r="HH14" s="849"/>
      <c r="HI14" s="849"/>
      <c r="HJ14" s="849"/>
      <c r="HK14" s="849"/>
      <c r="HL14" s="849"/>
      <c r="HM14" s="849"/>
      <c r="HN14" s="849"/>
      <c r="HO14" s="849"/>
      <c r="HP14" s="849"/>
      <c r="HQ14" s="849"/>
      <c r="HR14" s="849"/>
      <c r="HS14" s="849"/>
      <c r="HT14" s="849"/>
      <c r="HU14" s="849"/>
      <c r="HV14" s="849"/>
      <c r="HW14" s="849"/>
      <c r="HX14" s="849"/>
      <c r="HY14" s="849"/>
      <c r="HZ14" s="849"/>
      <c r="IA14" s="849"/>
      <c r="IB14" s="849"/>
      <c r="IC14" s="849"/>
      <c r="ID14" s="849"/>
      <c r="IE14" s="849"/>
      <c r="IF14" s="849"/>
      <c r="IG14" s="849"/>
      <c r="IH14" s="849"/>
      <c r="II14" s="849"/>
      <c r="IJ14" s="849"/>
      <c r="IK14" s="849"/>
      <c r="IL14" s="849"/>
      <c r="IM14" s="849"/>
      <c r="IN14" s="849"/>
      <c r="IO14" s="849"/>
      <c r="IP14" s="849"/>
      <c r="IQ14" s="849"/>
      <c r="IR14" s="849"/>
      <c r="IS14" s="849"/>
      <c r="IT14" s="849"/>
    </row>
    <row r="15" spans="1:254" ht="21" customHeight="1" x14ac:dyDescent="0.2">
      <c r="A15" s="72"/>
      <c r="B15" s="72"/>
      <c r="C15" s="72"/>
      <c r="D15" s="72"/>
      <c r="E15" s="72"/>
      <c r="F15" s="72"/>
      <c r="G15" s="72"/>
      <c r="H15" s="72"/>
      <c r="I15" s="72"/>
      <c r="J15" s="72"/>
      <c r="R15" s="849"/>
      <c r="S15" s="849"/>
      <c r="T15" s="849"/>
      <c r="U15" s="849"/>
      <c r="V15" s="849"/>
      <c r="W15" s="849"/>
      <c r="X15" s="849"/>
      <c r="Y15" s="849"/>
      <c r="Z15" s="849"/>
      <c r="AA15" s="849"/>
      <c r="AB15" s="849"/>
      <c r="AC15" s="849"/>
      <c r="AD15" s="849"/>
      <c r="AE15" s="849"/>
      <c r="AF15" s="849"/>
      <c r="AG15" s="849"/>
      <c r="AH15" s="849"/>
      <c r="AI15" s="849"/>
      <c r="AJ15" s="849"/>
      <c r="AK15" s="849"/>
      <c r="AL15" s="849"/>
      <c r="AM15" s="849"/>
      <c r="AN15" s="849"/>
      <c r="AO15" s="849"/>
      <c r="AP15" s="849"/>
      <c r="AQ15" s="849"/>
      <c r="AR15" s="849"/>
      <c r="AS15" s="849"/>
      <c r="AT15" s="849"/>
      <c r="AU15" s="849"/>
      <c r="AV15" s="849"/>
      <c r="AW15" s="849"/>
      <c r="AX15" s="849"/>
      <c r="AY15" s="849"/>
      <c r="AZ15" s="849"/>
      <c r="BA15" s="849"/>
      <c r="BB15" s="849"/>
      <c r="BC15" s="849"/>
      <c r="BD15" s="849"/>
      <c r="BE15" s="849"/>
      <c r="BF15" s="849"/>
      <c r="BG15" s="849"/>
      <c r="BH15" s="849"/>
      <c r="BI15" s="849"/>
      <c r="BJ15" s="849"/>
      <c r="BK15" s="849"/>
      <c r="BL15" s="849"/>
      <c r="BM15" s="849"/>
      <c r="BN15" s="849"/>
      <c r="BO15" s="849"/>
      <c r="BP15" s="849"/>
      <c r="BQ15" s="849"/>
      <c r="BR15" s="849"/>
      <c r="BS15" s="849"/>
      <c r="BT15" s="849"/>
      <c r="BU15" s="849"/>
      <c r="BV15" s="849"/>
      <c r="BW15" s="849"/>
      <c r="BX15" s="849"/>
      <c r="BY15" s="849"/>
      <c r="BZ15" s="849"/>
      <c r="CA15" s="849"/>
      <c r="CB15" s="849"/>
      <c r="CC15" s="849"/>
      <c r="CD15" s="849"/>
      <c r="CE15" s="849"/>
      <c r="CF15" s="849"/>
      <c r="CG15" s="849"/>
      <c r="CH15" s="849"/>
      <c r="CI15" s="849"/>
      <c r="CJ15" s="849"/>
      <c r="CK15" s="849"/>
      <c r="CL15" s="849"/>
      <c r="CM15" s="849"/>
      <c r="CN15" s="849"/>
      <c r="CO15" s="849"/>
      <c r="CP15" s="849"/>
      <c r="CQ15" s="849"/>
      <c r="CR15" s="849"/>
      <c r="CS15" s="849"/>
      <c r="CT15" s="849"/>
      <c r="CU15" s="849"/>
      <c r="CV15" s="849"/>
      <c r="CW15" s="849"/>
      <c r="CX15" s="849"/>
      <c r="CY15" s="849"/>
      <c r="CZ15" s="849"/>
      <c r="DA15" s="849"/>
      <c r="DB15" s="849"/>
      <c r="DC15" s="849"/>
      <c r="DD15" s="849"/>
      <c r="DE15" s="849"/>
      <c r="DF15" s="849"/>
      <c r="DG15" s="849"/>
      <c r="DH15" s="849"/>
      <c r="DI15" s="849"/>
      <c r="DJ15" s="849"/>
      <c r="DK15" s="849"/>
      <c r="DL15" s="849"/>
      <c r="DM15" s="849"/>
      <c r="DN15" s="849"/>
      <c r="DO15" s="849"/>
      <c r="DP15" s="849"/>
      <c r="DQ15" s="849"/>
      <c r="DR15" s="849"/>
      <c r="DS15" s="849"/>
      <c r="DT15" s="849"/>
      <c r="DU15" s="849"/>
      <c r="DV15" s="849"/>
      <c r="DW15" s="849"/>
      <c r="DX15" s="849"/>
      <c r="DY15" s="849"/>
      <c r="DZ15" s="849"/>
      <c r="EA15" s="849"/>
      <c r="EB15" s="849"/>
      <c r="EC15" s="849"/>
      <c r="ED15" s="849"/>
      <c r="EE15" s="849"/>
      <c r="EF15" s="849"/>
      <c r="EG15" s="849"/>
      <c r="EH15" s="849"/>
      <c r="EI15" s="849"/>
      <c r="EJ15" s="849"/>
      <c r="EK15" s="849"/>
      <c r="EL15" s="849"/>
      <c r="EM15" s="849"/>
      <c r="EN15" s="849"/>
      <c r="EO15" s="849"/>
      <c r="EP15" s="849"/>
      <c r="EQ15" s="849"/>
      <c r="ER15" s="849"/>
      <c r="ES15" s="849"/>
      <c r="ET15" s="849"/>
      <c r="EU15" s="849"/>
      <c r="EV15" s="849"/>
      <c r="EW15" s="849"/>
      <c r="EX15" s="849"/>
      <c r="EY15" s="849"/>
      <c r="EZ15" s="849"/>
      <c r="FA15" s="849"/>
      <c r="FB15" s="849"/>
      <c r="FC15" s="849"/>
      <c r="FD15" s="849"/>
      <c r="FE15" s="849"/>
      <c r="FF15" s="849"/>
      <c r="FG15" s="849"/>
      <c r="FH15" s="849"/>
      <c r="FI15" s="849"/>
      <c r="FJ15" s="849"/>
      <c r="FK15" s="849"/>
      <c r="FL15" s="849"/>
      <c r="FM15" s="849"/>
      <c r="FN15" s="849"/>
      <c r="FO15" s="849"/>
      <c r="FP15" s="849"/>
      <c r="FQ15" s="849"/>
      <c r="FR15" s="849"/>
      <c r="FS15" s="849"/>
      <c r="FT15" s="849"/>
      <c r="FU15" s="849"/>
      <c r="FV15" s="849"/>
      <c r="FW15" s="849"/>
      <c r="FX15" s="849"/>
      <c r="FY15" s="849"/>
      <c r="FZ15" s="849"/>
      <c r="GA15" s="849"/>
      <c r="GB15" s="849"/>
      <c r="GC15" s="849"/>
      <c r="GD15" s="849"/>
      <c r="GE15" s="849"/>
      <c r="GF15" s="849"/>
      <c r="GG15" s="849"/>
      <c r="GH15" s="849"/>
      <c r="GI15" s="849"/>
      <c r="GJ15" s="849"/>
      <c r="GK15" s="849"/>
      <c r="GL15" s="849"/>
      <c r="GM15" s="849"/>
      <c r="GN15" s="849"/>
      <c r="GO15" s="849"/>
      <c r="GP15" s="849"/>
      <c r="GQ15" s="849"/>
      <c r="GR15" s="849"/>
      <c r="GS15" s="849"/>
      <c r="GT15" s="849"/>
      <c r="GU15" s="849"/>
      <c r="GV15" s="849"/>
      <c r="GW15" s="849"/>
      <c r="GX15" s="849"/>
      <c r="GY15" s="849"/>
      <c r="GZ15" s="849"/>
      <c r="HA15" s="849"/>
      <c r="HB15" s="849"/>
      <c r="HC15" s="849"/>
      <c r="HD15" s="849"/>
      <c r="HE15" s="849"/>
      <c r="HF15" s="849"/>
      <c r="HG15" s="849"/>
      <c r="HH15" s="849"/>
      <c r="HI15" s="849"/>
      <c r="HJ15" s="849"/>
      <c r="HK15" s="849"/>
      <c r="HL15" s="849"/>
      <c r="HM15" s="849"/>
      <c r="HN15" s="849"/>
      <c r="HO15" s="849"/>
      <c r="HP15" s="849"/>
      <c r="HQ15" s="849"/>
      <c r="HR15" s="849"/>
      <c r="HS15" s="849"/>
      <c r="HT15" s="849"/>
      <c r="HU15" s="849"/>
      <c r="HV15" s="849"/>
      <c r="HW15" s="849"/>
      <c r="HX15" s="849"/>
      <c r="HY15" s="849"/>
      <c r="HZ15" s="849"/>
      <c r="IA15" s="849"/>
      <c r="IB15" s="849"/>
      <c r="IC15" s="849"/>
      <c r="ID15" s="849"/>
      <c r="IE15" s="849"/>
      <c r="IF15" s="849"/>
      <c r="IG15" s="849"/>
      <c r="IH15" s="849"/>
      <c r="II15" s="849"/>
      <c r="IJ15" s="849"/>
      <c r="IK15" s="849"/>
      <c r="IL15" s="849"/>
      <c r="IM15" s="849"/>
      <c r="IN15" s="849"/>
      <c r="IO15" s="849"/>
      <c r="IP15" s="849"/>
      <c r="IQ15" s="849"/>
      <c r="IR15" s="849"/>
      <c r="IS15" s="849"/>
      <c r="IT15" s="849"/>
    </row>
    <row r="16" spans="1:254" s="848" customFormat="1" ht="18" x14ac:dyDescent="0.25">
      <c r="A16" s="2120" t="s">
        <v>224</v>
      </c>
      <c r="B16" s="2121"/>
      <c r="C16" s="2121"/>
      <c r="D16" s="2121"/>
      <c r="E16" s="2121"/>
      <c r="F16" s="2121"/>
      <c r="G16" s="2121"/>
      <c r="H16" s="2121"/>
      <c r="I16" s="2121"/>
      <c r="J16" s="2121"/>
      <c r="K16" s="849"/>
      <c r="L16" s="849"/>
      <c r="M16" s="849"/>
      <c r="N16" s="849"/>
      <c r="O16" s="849"/>
      <c r="P16" s="849"/>
      <c r="Q16" s="849"/>
      <c r="R16" s="849"/>
      <c r="S16" s="849"/>
      <c r="T16" s="849"/>
      <c r="U16" s="849"/>
      <c r="V16" s="849"/>
      <c r="W16" s="849"/>
      <c r="X16" s="849"/>
      <c r="Y16" s="849"/>
      <c r="Z16" s="849"/>
      <c r="AA16" s="849"/>
      <c r="AB16" s="849"/>
      <c r="AC16" s="849"/>
      <c r="AD16" s="849"/>
      <c r="AE16" s="849"/>
      <c r="AF16" s="849"/>
      <c r="AG16" s="849"/>
      <c r="AH16" s="849"/>
      <c r="AI16" s="849"/>
      <c r="AJ16" s="849"/>
      <c r="AK16" s="849"/>
      <c r="AL16" s="849"/>
      <c r="AM16" s="849"/>
      <c r="AN16" s="849"/>
      <c r="AO16" s="849"/>
      <c r="AP16" s="849"/>
      <c r="AQ16" s="849"/>
      <c r="AR16" s="849"/>
      <c r="AS16" s="849"/>
      <c r="AT16" s="849"/>
      <c r="AU16" s="849"/>
      <c r="AV16" s="849"/>
      <c r="AW16" s="849"/>
      <c r="AX16" s="849"/>
      <c r="AY16" s="849"/>
      <c r="AZ16" s="849"/>
      <c r="BA16" s="849"/>
      <c r="BB16" s="849"/>
      <c r="BC16" s="849"/>
      <c r="BD16" s="849"/>
      <c r="BE16" s="849"/>
      <c r="BF16" s="849"/>
      <c r="BG16" s="849"/>
      <c r="BH16" s="849"/>
      <c r="BI16" s="849"/>
      <c r="BJ16" s="849"/>
      <c r="BK16" s="849"/>
      <c r="BL16" s="849"/>
      <c r="BM16" s="849"/>
      <c r="BN16" s="849"/>
      <c r="BO16" s="849"/>
      <c r="BP16" s="849"/>
      <c r="BQ16" s="849"/>
      <c r="BR16" s="849"/>
      <c r="BS16" s="849"/>
      <c r="BT16" s="849"/>
      <c r="BU16" s="849"/>
      <c r="BV16" s="849"/>
      <c r="BW16" s="849"/>
      <c r="BX16" s="849"/>
      <c r="BY16" s="849"/>
      <c r="BZ16" s="849"/>
      <c r="CA16" s="849"/>
      <c r="CB16" s="849"/>
      <c r="CC16" s="849"/>
      <c r="CD16" s="849"/>
      <c r="CE16" s="849"/>
      <c r="CF16" s="849"/>
      <c r="CG16" s="849"/>
      <c r="CH16" s="849"/>
      <c r="CI16" s="849"/>
      <c r="CJ16" s="849"/>
      <c r="CK16" s="849"/>
      <c r="CL16" s="849"/>
      <c r="CM16" s="849"/>
      <c r="CN16" s="849"/>
      <c r="CO16" s="849"/>
      <c r="CP16" s="849"/>
      <c r="CQ16" s="849"/>
      <c r="CR16" s="849"/>
      <c r="CS16" s="849"/>
      <c r="CT16" s="849"/>
      <c r="CU16" s="849"/>
      <c r="CV16" s="849"/>
      <c r="CW16" s="849"/>
      <c r="CX16" s="849"/>
      <c r="CY16" s="849"/>
      <c r="CZ16" s="849"/>
      <c r="DA16" s="849"/>
      <c r="DB16" s="849"/>
      <c r="DC16" s="849"/>
      <c r="DD16" s="849"/>
      <c r="DE16" s="849"/>
      <c r="DF16" s="849"/>
      <c r="DG16" s="849"/>
      <c r="DH16" s="849"/>
      <c r="DI16" s="849"/>
      <c r="DJ16" s="849"/>
      <c r="DK16" s="849"/>
      <c r="DL16" s="849"/>
      <c r="DM16" s="849"/>
      <c r="DN16" s="849"/>
      <c r="DO16" s="849"/>
      <c r="DP16" s="849"/>
      <c r="DQ16" s="849"/>
      <c r="DR16" s="849"/>
      <c r="DS16" s="849"/>
      <c r="DT16" s="849"/>
      <c r="DU16" s="849"/>
      <c r="DV16" s="849"/>
      <c r="DW16" s="849"/>
      <c r="DX16" s="849"/>
      <c r="DY16" s="849"/>
      <c r="DZ16" s="849"/>
      <c r="EA16" s="849"/>
      <c r="EB16" s="849"/>
      <c r="EC16" s="849"/>
      <c r="ED16" s="849"/>
      <c r="EE16" s="849"/>
      <c r="EF16" s="849"/>
      <c r="EG16" s="849"/>
      <c r="EH16" s="849"/>
      <c r="EI16" s="849"/>
      <c r="EJ16" s="849"/>
      <c r="EK16" s="849"/>
      <c r="EL16" s="849"/>
      <c r="EM16" s="849"/>
      <c r="EN16" s="849"/>
      <c r="EO16" s="849"/>
      <c r="EP16" s="849"/>
      <c r="EQ16" s="849"/>
      <c r="ER16" s="849"/>
      <c r="ES16" s="849"/>
      <c r="ET16" s="849"/>
      <c r="EU16" s="849"/>
      <c r="EV16" s="849"/>
      <c r="EW16" s="849"/>
      <c r="EX16" s="849"/>
      <c r="EY16" s="849"/>
      <c r="EZ16" s="849"/>
      <c r="FA16" s="849"/>
      <c r="FB16" s="849"/>
      <c r="FC16" s="849"/>
      <c r="FD16" s="849"/>
      <c r="FE16" s="849"/>
      <c r="FF16" s="849"/>
      <c r="FG16" s="849"/>
      <c r="FH16" s="849"/>
      <c r="FI16" s="849"/>
      <c r="FJ16" s="849"/>
      <c r="FK16" s="849"/>
      <c r="FL16" s="849"/>
      <c r="FM16" s="849"/>
      <c r="FN16" s="849"/>
      <c r="FO16" s="849"/>
      <c r="FP16" s="849"/>
      <c r="FQ16" s="849"/>
      <c r="FR16" s="849"/>
      <c r="FS16" s="849"/>
      <c r="FT16" s="849"/>
      <c r="FU16" s="849"/>
      <c r="FV16" s="849"/>
      <c r="FW16" s="849"/>
      <c r="FX16" s="849"/>
      <c r="FY16" s="849"/>
      <c r="FZ16" s="849"/>
      <c r="GA16" s="849"/>
      <c r="GB16" s="849"/>
      <c r="GC16" s="849"/>
      <c r="GD16" s="849"/>
      <c r="GE16" s="849"/>
      <c r="GF16" s="849"/>
      <c r="GG16" s="849"/>
      <c r="GH16" s="849"/>
      <c r="GI16" s="849"/>
      <c r="GJ16" s="849"/>
      <c r="GK16" s="849"/>
      <c r="GL16" s="849"/>
      <c r="GM16" s="849"/>
      <c r="GN16" s="849"/>
      <c r="GO16" s="849"/>
      <c r="GP16" s="849"/>
      <c r="GQ16" s="849"/>
      <c r="GR16" s="849"/>
      <c r="GS16" s="849"/>
      <c r="GT16" s="849"/>
      <c r="GU16" s="849"/>
      <c r="GV16" s="849"/>
      <c r="GW16" s="849"/>
      <c r="GX16" s="849"/>
      <c r="GY16" s="849"/>
      <c r="GZ16" s="849"/>
      <c r="HA16" s="849"/>
      <c r="HB16" s="849"/>
      <c r="HC16" s="849"/>
      <c r="HD16" s="849"/>
      <c r="HE16" s="849"/>
      <c r="HF16" s="849"/>
      <c r="HG16" s="849"/>
      <c r="HH16" s="849"/>
      <c r="HI16" s="849"/>
      <c r="HJ16" s="849"/>
      <c r="HK16" s="849"/>
      <c r="HL16" s="849"/>
      <c r="HM16" s="849"/>
      <c r="HN16" s="849"/>
      <c r="HO16" s="849"/>
      <c r="HP16" s="849"/>
      <c r="HQ16" s="849"/>
      <c r="HR16" s="849"/>
      <c r="HS16" s="849"/>
      <c r="HT16" s="849"/>
      <c r="HU16" s="849"/>
      <c r="HV16" s="849"/>
      <c r="HW16" s="849"/>
      <c r="HX16" s="849"/>
      <c r="HY16" s="849"/>
      <c r="HZ16" s="849"/>
      <c r="IA16" s="849"/>
      <c r="IB16" s="849"/>
      <c r="IC16" s="849"/>
      <c r="ID16" s="849"/>
      <c r="IE16" s="849"/>
      <c r="IF16" s="849"/>
      <c r="IG16" s="849"/>
      <c r="IH16" s="849"/>
      <c r="II16" s="849"/>
      <c r="IJ16" s="849"/>
      <c r="IK16" s="849"/>
      <c r="IL16" s="849"/>
      <c r="IM16" s="849"/>
      <c r="IN16" s="849"/>
      <c r="IO16" s="849"/>
      <c r="IP16" s="849"/>
      <c r="IQ16" s="849"/>
      <c r="IR16" s="849"/>
      <c r="IS16" s="849"/>
      <c r="IT16" s="849"/>
    </row>
    <row r="17" spans="1:10" s="844" customFormat="1" ht="22.5" customHeight="1" x14ac:dyDescent="0.2">
      <c r="A17" s="75" t="s">
        <v>181</v>
      </c>
      <c r="B17" s="845"/>
      <c r="C17" s="845"/>
      <c r="D17" s="845"/>
      <c r="E17" s="845"/>
      <c r="F17" s="845"/>
      <c r="G17" s="845"/>
      <c r="H17" s="845"/>
      <c r="I17" s="845"/>
      <c r="J17" s="856" t="s">
        <v>180</v>
      </c>
    </row>
    <row r="18" spans="1:10" s="844" customFormat="1" ht="22.5" customHeight="1" x14ac:dyDescent="0.2">
      <c r="A18" s="75"/>
      <c r="B18" s="845"/>
      <c r="C18" s="845"/>
      <c r="D18" s="845"/>
      <c r="E18" s="845"/>
      <c r="F18" s="845"/>
      <c r="G18" s="845"/>
      <c r="H18" s="845"/>
      <c r="I18" s="845"/>
      <c r="J18" s="856"/>
    </row>
    <row r="19" spans="1:10" s="844" customFormat="1" ht="14.25" x14ac:dyDescent="0.2">
      <c r="A19" s="75"/>
      <c r="B19" s="2466" t="s">
        <v>607</v>
      </c>
      <c r="C19" s="2464" t="s">
        <v>179</v>
      </c>
      <c r="D19" s="2457"/>
      <c r="E19" s="2457"/>
      <c r="F19" s="2457"/>
      <c r="G19" s="2457"/>
      <c r="H19" s="2457"/>
      <c r="I19" s="2457"/>
      <c r="J19" s="2467"/>
    </row>
    <row r="20" spans="1:10" s="844" customFormat="1" ht="14.25" x14ac:dyDescent="0.2">
      <c r="A20" s="853">
        <v>1</v>
      </c>
      <c r="B20" s="2463"/>
      <c r="C20" s="2457"/>
      <c r="D20" s="2457"/>
      <c r="E20" s="2457"/>
      <c r="F20" s="2457"/>
      <c r="G20" s="2457"/>
      <c r="H20" s="2457"/>
      <c r="I20" s="2457"/>
      <c r="J20" s="2468"/>
    </row>
    <row r="21" spans="1:10" s="844" customFormat="1" ht="14.25" x14ac:dyDescent="0.2">
      <c r="A21" s="853"/>
      <c r="B21" s="2462" t="s">
        <v>607</v>
      </c>
      <c r="C21" s="2464" t="s">
        <v>178</v>
      </c>
      <c r="D21" s="2457"/>
      <c r="E21" s="2457"/>
      <c r="F21" s="2457"/>
      <c r="G21" s="2457"/>
      <c r="H21" s="2457"/>
      <c r="I21" s="2457"/>
      <c r="J21" s="2455"/>
    </row>
    <row r="22" spans="1:10" s="844" customFormat="1" ht="14.25" x14ac:dyDescent="0.2">
      <c r="A22" s="853">
        <v>2</v>
      </c>
      <c r="B22" s="2463"/>
      <c r="C22" s="2457"/>
      <c r="D22" s="2457"/>
      <c r="E22" s="2457"/>
      <c r="F22" s="2457"/>
      <c r="G22" s="2457"/>
      <c r="H22" s="2457"/>
      <c r="I22" s="2457"/>
      <c r="J22" s="2454"/>
    </row>
    <row r="23" spans="1:10" s="844" customFormat="1" ht="14.25" x14ac:dyDescent="0.2">
      <c r="A23" s="853"/>
      <c r="B23" s="2462" t="s">
        <v>607</v>
      </c>
      <c r="C23" s="2456" t="s">
        <v>177</v>
      </c>
      <c r="D23" s="2457"/>
      <c r="E23" s="2457"/>
      <c r="F23" s="2457"/>
      <c r="G23" s="2457"/>
      <c r="H23" s="2457"/>
      <c r="I23" s="854"/>
      <c r="J23" s="2453"/>
    </row>
    <row r="24" spans="1:10" s="844" customFormat="1" ht="14.25" x14ac:dyDescent="0.2">
      <c r="A24" s="853">
        <v>3</v>
      </c>
      <c r="B24" s="2463"/>
      <c r="C24" s="2457"/>
      <c r="D24" s="2457"/>
      <c r="E24" s="2457"/>
      <c r="F24" s="2457"/>
      <c r="G24" s="2457"/>
      <c r="H24" s="2457"/>
      <c r="I24" s="854"/>
      <c r="J24" s="2454"/>
    </row>
    <row r="25" spans="1:10" s="844" customFormat="1" ht="14.25" x14ac:dyDescent="0.2">
      <c r="A25" s="853"/>
      <c r="B25" s="2462" t="s">
        <v>607</v>
      </c>
      <c r="C25" s="2456" t="s">
        <v>176</v>
      </c>
      <c r="D25" s="2465"/>
      <c r="E25" s="2465"/>
      <c r="F25" s="2465"/>
      <c r="G25" s="2465"/>
      <c r="H25" s="2465"/>
      <c r="I25" s="854"/>
      <c r="J25" s="2453"/>
    </row>
    <row r="26" spans="1:10" s="844" customFormat="1" ht="14.25" x14ac:dyDescent="0.2">
      <c r="A26" s="853">
        <v>4</v>
      </c>
      <c r="B26" s="2463"/>
      <c r="C26" s="2465"/>
      <c r="D26" s="2465"/>
      <c r="E26" s="2465"/>
      <c r="F26" s="2465"/>
      <c r="G26" s="2465"/>
      <c r="H26" s="2465"/>
      <c r="I26" s="855"/>
      <c r="J26" s="2454"/>
    </row>
    <row r="27" spans="1:10" s="844" customFormat="1" ht="14.25" x14ac:dyDescent="0.2">
      <c r="A27" s="853"/>
      <c r="B27" s="2462" t="s">
        <v>607</v>
      </c>
      <c r="C27" s="2470" t="s">
        <v>320</v>
      </c>
      <c r="D27" s="2465"/>
      <c r="E27" s="2465"/>
      <c r="F27" s="2465"/>
      <c r="G27" s="2465"/>
      <c r="H27" s="2465"/>
      <c r="I27" s="855"/>
      <c r="J27" s="2453"/>
    </row>
    <row r="28" spans="1:10" s="844" customFormat="1" ht="14.25" x14ac:dyDescent="0.2">
      <c r="A28" s="853">
        <v>5</v>
      </c>
      <c r="B28" s="2463"/>
      <c r="C28" s="2465"/>
      <c r="D28" s="2465"/>
      <c r="E28" s="2465"/>
      <c r="F28" s="2465"/>
      <c r="G28" s="2465"/>
      <c r="H28" s="2465"/>
      <c r="I28" s="854"/>
      <c r="J28" s="2454"/>
    </row>
    <row r="29" spans="1:10" s="844" customFormat="1" ht="14.25" x14ac:dyDescent="0.2">
      <c r="A29" s="853"/>
      <c r="B29" s="2462" t="s">
        <v>607</v>
      </c>
      <c r="C29" s="2470" t="s">
        <v>321</v>
      </c>
      <c r="D29" s="2465"/>
      <c r="E29" s="2465"/>
      <c r="F29" s="2465"/>
      <c r="G29" s="2465"/>
      <c r="H29" s="2465"/>
      <c r="I29" s="2465"/>
      <c r="J29" s="2455"/>
    </row>
    <row r="30" spans="1:10" s="844" customFormat="1" ht="14.25" x14ac:dyDescent="0.2">
      <c r="A30" s="853">
        <v>6</v>
      </c>
      <c r="B30" s="2463"/>
      <c r="C30" s="2465"/>
      <c r="D30" s="2465"/>
      <c r="E30" s="2465"/>
      <c r="F30" s="2465"/>
      <c r="G30" s="2465"/>
      <c r="H30" s="2465"/>
      <c r="I30" s="2465"/>
      <c r="J30" s="2484"/>
    </row>
    <row r="31" spans="1:10" s="844" customFormat="1" ht="27" customHeight="1" x14ac:dyDescent="0.25">
      <c r="A31" s="845"/>
      <c r="B31" s="77"/>
      <c r="C31" s="850"/>
      <c r="D31" s="845"/>
      <c r="E31" s="845"/>
      <c r="F31" s="845"/>
      <c r="G31" s="845"/>
      <c r="H31" s="845"/>
      <c r="I31" s="852"/>
      <c r="J31" s="1128"/>
    </row>
    <row r="32" spans="1:10" s="844" customFormat="1" ht="7.5" hidden="1" customHeight="1" x14ac:dyDescent="0.25">
      <c r="A32" s="845"/>
      <c r="B32" s="806"/>
      <c r="C32" s="850"/>
      <c r="D32" s="845"/>
      <c r="E32" s="845"/>
      <c r="F32" s="845"/>
      <c r="G32" s="845"/>
      <c r="H32" s="845"/>
      <c r="I32" s="852"/>
      <c r="J32" s="851"/>
    </row>
    <row r="33" spans="1:254" s="848" customFormat="1" ht="18" x14ac:dyDescent="0.25">
      <c r="A33" s="2485" t="s">
        <v>225</v>
      </c>
      <c r="B33" s="2486"/>
      <c r="C33" s="2486"/>
      <c r="D33" s="2486"/>
      <c r="E33" s="2486"/>
      <c r="F33" s="2486"/>
      <c r="G33" s="2486"/>
      <c r="H33" s="2486"/>
      <c r="I33" s="2486"/>
      <c r="J33" s="2486"/>
      <c r="K33" s="849"/>
      <c r="L33" s="849"/>
      <c r="M33" s="849"/>
      <c r="N33" s="849"/>
      <c r="O33" s="849"/>
      <c r="P33" s="849"/>
      <c r="Q33" s="849"/>
      <c r="R33" s="849"/>
      <c r="S33" s="849"/>
      <c r="T33" s="849"/>
      <c r="U33" s="849"/>
      <c r="V33" s="849"/>
      <c r="W33" s="849"/>
      <c r="X33" s="849"/>
      <c r="Y33" s="849"/>
      <c r="Z33" s="849"/>
      <c r="AA33" s="849"/>
      <c r="AB33" s="849"/>
      <c r="AC33" s="849"/>
      <c r="AD33" s="849"/>
      <c r="AE33" s="849"/>
      <c r="AF33" s="849"/>
      <c r="AG33" s="849"/>
      <c r="AH33" s="849"/>
      <c r="AI33" s="849"/>
      <c r="AJ33" s="849"/>
      <c r="AK33" s="849"/>
      <c r="AL33" s="849"/>
      <c r="AM33" s="849"/>
      <c r="AN33" s="849"/>
      <c r="AO33" s="849"/>
      <c r="AP33" s="849"/>
      <c r="AQ33" s="849"/>
      <c r="AR33" s="849"/>
      <c r="AS33" s="849"/>
      <c r="AT33" s="849"/>
      <c r="AU33" s="849"/>
      <c r="AV33" s="849"/>
      <c r="AW33" s="849"/>
      <c r="AX33" s="849"/>
      <c r="AY33" s="849"/>
      <c r="AZ33" s="849"/>
      <c r="BA33" s="849"/>
      <c r="BB33" s="849"/>
      <c r="BC33" s="849"/>
      <c r="BD33" s="849"/>
      <c r="BE33" s="849"/>
      <c r="BF33" s="849"/>
      <c r="BG33" s="849"/>
      <c r="BH33" s="849"/>
      <c r="BI33" s="849"/>
      <c r="BJ33" s="849"/>
      <c r="BK33" s="849"/>
      <c r="BL33" s="849"/>
      <c r="BM33" s="849"/>
      <c r="BN33" s="849"/>
      <c r="BO33" s="849"/>
      <c r="BP33" s="849"/>
      <c r="BQ33" s="849"/>
      <c r="BR33" s="849"/>
      <c r="BS33" s="849"/>
      <c r="BT33" s="849"/>
      <c r="BU33" s="849"/>
      <c r="BV33" s="849"/>
      <c r="BW33" s="849"/>
      <c r="BX33" s="849"/>
      <c r="BY33" s="849"/>
      <c r="BZ33" s="849"/>
      <c r="CA33" s="849"/>
      <c r="CB33" s="849"/>
      <c r="CC33" s="849"/>
      <c r="CD33" s="849"/>
      <c r="CE33" s="849"/>
      <c r="CF33" s="849"/>
      <c r="CG33" s="849"/>
      <c r="CH33" s="849"/>
      <c r="CI33" s="849"/>
      <c r="CJ33" s="849"/>
      <c r="CK33" s="849"/>
      <c r="CL33" s="849"/>
      <c r="CM33" s="849"/>
      <c r="CN33" s="849"/>
      <c r="CO33" s="849"/>
      <c r="CP33" s="849"/>
      <c r="CQ33" s="849"/>
      <c r="CR33" s="849"/>
      <c r="CS33" s="849"/>
      <c r="CT33" s="849"/>
      <c r="CU33" s="849"/>
      <c r="CV33" s="849"/>
      <c r="CW33" s="849"/>
      <c r="CX33" s="849"/>
      <c r="CY33" s="849"/>
      <c r="CZ33" s="849"/>
      <c r="DA33" s="849"/>
      <c r="DB33" s="849"/>
      <c r="DC33" s="849"/>
      <c r="DD33" s="849"/>
      <c r="DE33" s="849"/>
      <c r="DF33" s="849"/>
      <c r="DG33" s="849"/>
      <c r="DH33" s="849"/>
      <c r="DI33" s="849"/>
      <c r="DJ33" s="849"/>
      <c r="DK33" s="849"/>
      <c r="DL33" s="849"/>
      <c r="DM33" s="849"/>
      <c r="DN33" s="849"/>
      <c r="DO33" s="849"/>
      <c r="DP33" s="849"/>
      <c r="DQ33" s="849"/>
      <c r="DR33" s="849"/>
      <c r="DS33" s="849"/>
      <c r="DT33" s="849"/>
      <c r="DU33" s="849"/>
      <c r="DV33" s="849"/>
      <c r="DW33" s="849"/>
      <c r="DX33" s="849"/>
      <c r="DY33" s="849"/>
      <c r="DZ33" s="849"/>
      <c r="EA33" s="849"/>
      <c r="EB33" s="849"/>
      <c r="EC33" s="849"/>
      <c r="ED33" s="849"/>
      <c r="EE33" s="849"/>
      <c r="EF33" s="849"/>
      <c r="EG33" s="849"/>
      <c r="EH33" s="849"/>
      <c r="EI33" s="849"/>
      <c r="EJ33" s="849"/>
      <c r="EK33" s="849"/>
      <c r="EL33" s="849"/>
      <c r="EM33" s="849"/>
      <c r="EN33" s="849"/>
      <c r="EO33" s="849"/>
      <c r="EP33" s="849"/>
      <c r="EQ33" s="849"/>
      <c r="ER33" s="849"/>
      <c r="ES33" s="849"/>
      <c r="ET33" s="849"/>
      <c r="EU33" s="849"/>
      <c r="EV33" s="849"/>
      <c r="EW33" s="849"/>
      <c r="EX33" s="849"/>
      <c r="EY33" s="849"/>
      <c r="EZ33" s="849"/>
      <c r="FA33" s="849"/>
      <c r="FB33" s="849"/>
      <c r="FC33" s="849"/>
      <c r="FD33" s="849"/>
      <c r="FE33" s="849"/>
      <c r="FF33" s="849"/>
      <c r="FG33" s="849"/>
      <c r="FH33" s="849"/>
      <c r="FI33" s="849"/>
      <c r="FJ33" s="849"/>
      <c r="FK33" s="849"/>
      <c r="FL33" s="849"/>
      <c r="FM33" s="849"/>
      <c r="FN33" s="849"/>
      <c r="FO33" s="849"/>
      <c r="FP33" s="849"/>
      <c r="FQ33" s="849"/>
      <c r="FR33" s="849"/>
      <c r="FS33" s="849"/>
      <c r="FT33" s="849"/>
      <c r="FU33" s="849"/>
      <c r="FV33" s="849"/>
      <c r="FW33" s="849"/>
      <c r="FX33" s="849"/>
      <c r="FY33" s="849"/>
      <c r="FZ33" s="849"/>
      <c r="GA33" s="849"/>
      <c r="GB33" s="849"/>
      <c r="GC33" s="849"/>
      <c r="GD33" s="849"/>
      <c r="GE33" s="849"/>
      <c r="GF33" s="849"/>
      <c r="GG33" s="849"/>
      <c r="GH33" s="849"/>
      <c r="GI33" s="849"/>
      <c r="GJ33" s="849"/>
      <c r="GK33" s="849"/>
      <c r="GL33" s="849"/>
      <c r="GM33" s="849"/>
      <c r="GN33" s="849"/>
      <c r="GO33" s="849"/>
      <c r="GP33" s="849"/>
      <c r="GQ33" s="849"/>
      <c r="GR33" s="849"/>
      <c r="GS33" s="849"/>
      <c r="GT33" s="849"/>
      <c r="GU33" s="849"/>
      <c r="GV33" s="849"/>
      <c r="GW33" s="849"/>
      <c r="GX33" s="849"/>
      <c r="GY33" s="849"/>
      <c r="GZ33" s="849"/>
      <c r="HA33" s="849"/>
      <c r="HB33" s="849"/>
      <c r="HC33" s="849"/>
      <c r="HD33" s="849"/>
      <c r="HE33" s="849"/>
      <c r="HF33" s="849"/>
      <c r="HG33" s="849"/>
      <c r="HH33" s="849"/>
      <c r="HI33" s="849"/>
      <c r="HJ33" s="849"/>
      <c r="HK33" s="849"/>
      <c r="HL33" s="849"/>
      <c r="HM33" s="849"/>
      <c r="HN33" s="849"/>
      <c r="HO33" s="849"/>
      <c r="HP33" s="849"/>
      <c r="HQ33" s="849"/>
      <c r="HR33" s="849"/>
      <c r="HS33" s="849"/>
      <c r="HT33" s="849"/>
      <c r="HU33" s="849"/>
      <c r="HV33" s="849"/>
      <c r="HW33" s="849"/>
      <c r="HX33" s="849"/>
      <c r="HY33" s="849"/>
      <c r="HZ33" s="849"/>
      <c r="IA33" s="849"/>
      <c r="IB33" s="849"/>
      <c r="IC33" s="849"/>
      <c r="ID33" s="849"/>
      <c r="IE33" s="849"/>
      <c r="IF33" s="849"/>
      <c r="IG33" s="849"/>
      <c r="IH33" s="849"/>
      <c r="II33" s="849"/>
      <c r="IJ33" s="849"/>
      <c r="IK33" s="849"/>
      <c r="IL33" s="849"/>
      <c r="IM33" s="849"/>
      <c r="IN33" s="849"/>
      <c r="IO33" s="849"/>
      <c r="IP33" s="849"/>
      <c r="IQ33" s="849"/>
      <c r="IR33" s="849"/>
      <c r="IS33" s="849"/>
      <c r="IT33" s="849"/>
    </row>
    <row r="34" spans="1:254" s="848" customFormat="1" ht="8.25" customHeight="1" x14ac:dyDescent="0.25">
      <c r="A34" s="77"/>
      <c r="B34" s="77"/>
      <c r="C34" s="77"/>
      <c r="D34" s="77"/>
      <c r="E34" s="77"/>
      <c r="F34" s="77"/>
      <c r="G34" s="77"/>
      <c r="H34" s="77"/>
      <c r="I34" s="77"/>
      <c r="J34" s="77"/>
      <c r="K34" s="849"/>
      <c r="L34" s="849"/>
      <c r="M34" s="849"/>
      <c r="N34" s="849"/>
      <c r="O34" s="849"/>
      <c r="P34" s="849"/>
      <c r="Q34" s="849"/>
      <c r="R34" s="849"/>
      <c r="S34" s="849"/>
      <c r="T34" s="849"/>
      <c r="U34" s="849"/>
      <c r="V34" s="849"/>
      <c r="W34" s="849"/>
      <c r="X34" s="849"/>
      <c r="Y34" s="849"/>
      <c r="Z34" s="849"/>
      <c r="AA34" s="849"/>
      <c r="AB34" s="849"/>
      <c r="AC34" s="849"/>
      <c r="AD34" s="849"/>
      <c r="AE34" s="849"/>
      <c r="AF34" s="849"/>
      <c r="AG34" s="849"/>
      <c r="AH34" s="849"/>
      <c r="AI34" s="849"/>
      <c r="AJ34" s="849"/>
      <c r="AK34" s="849"/>
      <c r="AL34" s="849"/>
      <c r="AM34" s="849"/>
      <c r="AN34" s="849"/>
      <c r="AO34" s="849"/>
      <c r="AP34" s="849"/>
      <c r="AQ34" s="849"/>
      <c r="AR34" s="849"/>
      <c r="AS34" s="849"/>
      <c r="AT34" s="849"/>
      <c r="AU34" s="849"/>
      <c r="AV34" s="849"/>
      <c r="AW34" s="849"/>
      <c r="AX34" s="849"/>
      <c r="AY34" s="849"/>
      <c r="AZ34" s="849"/>
      <c r="BA34" s="849"/>
      <c r="BB34" s="849"/>
      <c r="BC34" s="849"/>
      <c r="BD34" s="849"/>
      <c r="BE34" s="849"/>
      <c r="BF34" s="849"/>
      <c r="BG34" s="849"/>
      <c r="BH34" s="849"/>
      <c r="BI34" s="849"/>
      <c r="BJ34" s="849"/>
      <c r="BK34" s="849"/>
      <c r="BL34" s="849"/>
      <c r="BM34" s="849"/>
      <c r="BN34" s="849"/>
      <c r="BO34" s="849"/>
      <c r="BP34" s="849"/>
      <c r="BQ34" s="849"/>
      <c r="BR34" s="849"/>
      <c r="BS34" s="849"/>
      <c r="BT34" s="849"/>
      <c r="BU34" s="849"/>
      <c r="BV34" s="849"/>
      <c r="BW34" s="849"/>
      <c r="BX34" s="849"/>
      <c r="BY34" s="849"/>
      <c r="BZ34" s="849"/>
      <c r="CA34" s="849"/>
      <c r="CB34" s="849"/>
      <c r="CC34" s="849"/>
      <c r="CD34" s="849"/>
      <c r="CE34" s="849"/>
      <c r="CF34" s="849"/>
      <c r="CG34" s="849"/>
      <c r="CH34" s="849"/>
      <c r="CI34" s="849"/>
      <c r="CJ34" s="849"/>
      <c r="CK34" s="849"/>
      <c r="CL34" s="849"/>
      <c r="CM34" s="849"/>
      <c r="CN34" s="849"/>
      <c r="CO34" s="849"/>
      <c r="CP34" s="849"/>
      <c r="CQ34" s="849"/>
      <c r="CR34" s="849"/>
      <c r="CS34" s="849"/>
      <c r="CT34" s="849"/>
      <c r="CU34" s="849"/>
      <c r="CV34" s="849"/>
      <c r="CW34" s="849"/>
      <c r="CX34" s="849"/>
      <c r="CY34" s="849"/>
      <c r="CZ34" s="849"/>
      <c r="DA34" s="849"/>
      <c r="DB34" s="849"/>
      <c r="DC34" s="849"/>
      <c r="DD34" s="849"/>
      <c r="DE34" s="849"/>
      <c r="DF34" s="849"/>
      <c r="DG34" s="849"/>
      <c r="DH34" s="849"/>
      <c r="DI34" s="849"/>
      <c r="DJ34" s="849"/>
      <c r="DK34" s="849"/>
      <c r="DL34" s="849"/>
      <c r="DM34" s="849"/>
      <c r="DN34" s="849"/>
      <c r="DO34" s="849"/>
      <c r="DP34" s="849"/>
      <c r="DQ34" s="849"/>
      <c r="DR34" s="849"/>
      <c r="DS34" s="849"/>
      <c r="DT34" s="849"/>
      <c r="DU34" s="849"/>
      <c r="DV34" s="849"/>
      <c r="DW34" s="849"/>
      <c r="DX34" s="849"/>
      <c r="DY34" s="849"/>
      <c r="DZ34" s="849"/>
      <c r="EA34" s="849"/>
      <c r="EB34" s="849"/>
      <c r="EC34" s="849"/>
      <c r="ED34" s="849"/>
      <c r="EE34" s="849"/>
      <c r="EF34" s="849"/>
      <c r="EG34" s="849"/>
      <c r="EH34" s="849"/>
      <c r="EI34" s="849"/>
      <c r="EJ34" s="849"/>
      <c r="EK34" s="849"/>
      <c r="EL34" s="849"/>
      <c r="EM34" s="849"/>
      <c r="EN34" s="849"/>
      <c r="EO34" s="849"/>
      <c r="EP34" s="849"/>
      <c r="EQ34" s="849"/>
      <c r="ER34" s="849"/>
      <c r="ES34" s="849"/>
      <c r="ET34" s="849"/>
      <c r="EU34" s="849"/>
      <c r="EV34" s="849"/>
      <c r="EW34" s="849"/>
      <c r="EX34" s="849"/>
      <c r="EY34" s="849"/>
      <c r="EZ34" s="849"/>
      <c r="FA34" s="849"/>
      <c r="FB34" s="849"/>
      <c r="FC34" s="849"/>
      <c r="FD34" s="849"/>
      <c r="FE34" s="849"/>
      <c r="FF34" s="849"/>
      <c r="FG34" s="849"/>
      <c r="FH34" s="849"/>
      <c r="FI34" s="849"/>
      <c r="FJ34" s="849"/>
      <c r="FK34" s="849"/>
      <c r="FL34" s="849"/>
      <c r="FM34" s="849"/>
      <c r="FN34" s="849"/>
      <c r="FO34" s="849"/>
      <c r="FP34" s="849"/>
      <c r="FQ34" s="849"/>
      <c r="FR34" s="849"/>
      <c r="FS34" s="849"/>
      <c r="FT34" s="849"/>
      <c r="FU34" s="849"/>
      <c r="FV34" s="849"/>
      <c r="FW34" s="849"/>
      <c r="FX34" s="849"/>
      <c r="FY34" s="849"/>
      <c r="FZ34" s="849"/>
      <c r="GA34" s="849"/>
      <c r="GB34" s="849"/>
      <c r="GC34" s="849"/>
      <c r="GD34" s="849"/>
      <c r="GE34" s="849"/>
      <c r="GF34" s="849"/>
      <c r="GG34" s="849"/>
      <c r="GH34" s="849"/>
      <c r="GI34" s="849"/>
      <c r="GJ34" s="849"/>
      <c r="GK34" s="849"/>
      <c r="GL34" s="849"/>
      <c r="GM34" s="849"/>
      <c r="GN34" s="849"/>
      <c r="GO34" s="849"/>
      <c r="GP34" s="849"/>
      <c r="GQ34" s="849"/>
      <c r="GR34" s="849"/>
      <c r="GS34" s="849"/>
      <c r="GT34" s="849"/>
      <c r="GU34" s="849"/>
      <c r="GV34" s="849"/>
      <c r="GW34" s="849"/>
      <c r="GX34" s="849"/>
      <c r="GY34" s="849"/>
      <c r="GZ34" s="849"/>
      <c r="HA34" s="849"/>
      <c r="HB34" s="849"/>
      <c r="HC34" s="849"/>
      <c r="HD34" s="849"/>
      <c r="HE34" s="849"/>
      <c r="HF34" s="849"/>
      <c r="HG34" s="849"/>
      <c r="HH34" s="849"/>
      <c r="HI34" s="849"/>
      <c r="HJ34" s="849"/>
      <c r="HK34" s="849"/>
      <c r="HL34" s="849"/>
      <c r="HM34" s="849"/>
      <c r="HN34" s="849"/>
      <c r="HO34" s="849"/>
      <c r="HP34" s="849"/>
      <c r="HQ34" s="849"/>
      <c r="HR34" s="849"/>
      <c r="HS34" s="849"/>
      <c r="HT34" s="849"/>
      <c r="HU34" s="849"/>
      <c r="HV34" s="849"/>
      <c r="HW34" s="849"/>
      <c r="HX34" s="849"/>
      <c r="HY34" s="849"/>
      <c r="HZ34" s="849"/>
      <c r="IA34" s="849"/>
      <c r="IB34" s="849"/>
      <c r="IC34" s="849"/>
      <c r="ID34" s="849"/>
      <c r="IE34" s="849"/>
      <c r="IF34" s="849"/>
      <c r="IG34" s="849"/>
      <c r="IH34" s="849"/>
      <c r="II34" s="849"/>
      <c r="IJ34" s="849"/>
      <c r="IK34" s="849"/>
      <c r="IL34" s="849"/>
      <c r="IM34" s="849"/>
      <c r="IN34" s="849"/>
      <c r="IO34" s="849"/>
      <c r="IP34" s="849"/>
      <c r="IQ34" s="849"/>
      <c r="IR34" s="849"/>
      <c r="IS34" s="849"/>
      <c r="IT34" s="849"/>
    </row>
    <row r="35" spans="1:254" s="848" customFormat="1" ht="24" customHeight="1" x14ac:dyDescent="0.25">
      <c r="A35" s="850" t="s">
        <v>175</v>
      </c>
      <c r="B35" s="77"/>
      <c r="C35" s="77"/>
      <c r="D35" s="77"/>
      <c r="E35" s="77"/>
      <c r="F35" s="77"/>
      <c r="G35" s="77"/>
      <c r="H35" s="77"/>
      <c r="I35" s="77"/>
      <c r="J35" s="77"/>
      <c r="K35" s="849"/>
      <c r="L35" s="849"/>
      <c r="M35" s="849"/>
      <c r="N35" s="849"/>
      <c r="O35" s="849"/>
      <c r="P35" s="849"/>
      <c r="Q35" s="849"/>
      <c r="R35" s="849"/>
      <c r="S35" s="849"/>
      <c r="T35" s="849"/>
      <c r="U35" s="849"/>
      <c r="V35" s="849"/>
      <c r="W35" s="849"/>
      <c r="X35" s="849"/>
      <c r="Y35" s="849"/>
      <c r="Z35" s="849"/>
      <c r="AA35" s="849"/>
      <c r="AB35" s="849"/>
      <c r="AC35" s="849"/>
      <c r="AD35" s="849"/>
      <c r="AE35" s="849"/>
      <c r="AF35" s="849"/>
      <c r="AG35" s="849"/>
      <c r="AH35" s="849"/>
      <c r="AI35" s="849"/>
      <c r="AJ35" s="849"/>
      <c r="AK35" s="849"/>
      <c r="AL35" s="849"/>
      <c r="AM35" s="849"/>
      <c r="AN35" s="849"/>
      <c r="AO35" s="849"/>
      <c r="AP35" s="849"/>
      <c r="AQ35" s="849"/>
      <c r="AR35" s="849"/>
      <c r="AS35" s="849"/>
      <c r="AT35" s="849"/>
      <c r="AU35" s="849"/>
      <c r="AV35" s="849"/>
      <c r="AW35" s="849"/>
      <c r="AX35" s="849"/>
      <c r="AY35" s="849"/>
      <c r="AZ35" s="849"/>
      <c r="BA35" s="849"/>
      <c r="BB35" s="849"/>
      <c r="BC35" s="849"/>
      <c r="BD35" s="849"/>
      <c r="BE35" s="849"/>
      <c r="BF35" s="849"/>
      <c r="BG35" s="849"/>
      <c r="BH35" s="849"/>
      <c r="BI35" s="849"/>
      <c r="BJ35" s="849"/>
      <c r="BK35" s="849"/>
      <c r="BL35" s="849"/>
      <c r="BM35" s="849"/>
      <c r="BN35" s="849"/>
      <c r="BO35" s="849"/>
      <c r="BP35" s="849"/>
      <c r="BQ35" s="849"/>
      <c r="BR35" s="849"/>
      <c r="BS35" s="849"/>
      <c r="BT35" s="849"/>
      <c r="BU35" s="849"/>
      <c r="BV35" s="849"/>
      <c r="BW35" s="849"/>
      <c r="BX35" s="849"/>
      <c r="BY35" s="849"/>
      <c r="BZ35" s="849"/>
      <c r="CA35" s="849"/>
      <c r="CB35" s="849"/>
      <c r="CC35" s="849"/>
      <c r="CD35" s="849"/>
      <c r="CE35" s="849"/>
      <c r="CF35" s="849"/>
      <c r="CG35" s="849"/>
      <c r="CH35" s="849"/>
      <c r="CI35" s="849"/>
      <c r="CJ35" s="849"/>
      <c r="CK35" s="849"/>
      <c r="CL35" s="849"/>
      <c r="CM35" s="849"/>
      <c r="CN35" s="849"/>
      <c r="CO35" s="849"/>
      <c r="CP35" s="849"/>
      <c r="CQ35" s="849"/>
      <c r="CR35" s="849"/>
      <c r="CS35" s="849"/>
      <c r="CT35" s="849"/>
      <c r="CU35" s="849"/>
      <c r="CV35" s="849"/>
      <c r="CW35" s="849"/>
      <c r="CX35" s="849"/>
      <c r="CY35" s="849"/>
      <c r="CZ35" s="849"/>
      <c r="DA35" s="849"/>
      <c r="DB35" s="849"/>
      <c r="DC35" s="849"/>
      <c r="DD35" s="849"/>
      <c r="DE35" s="849"/>
      <c r="DF35" s="849"/>
      <c r="DG35" s="849"/>
      <c r="DH35" s="849"/>
      <c r="DI35" s="849"/>
      <c r="DJ35" s="849"/>
      <c r="DK35" s="849"/>
      <c r="DL35" s="849"/>
      <c r="DM35" s="849"/>
      <c r="DN35" s="849"/>
      <c r="DO35" s="849"/>
      <c r="DP35" s="849"/>
      <c r="DQ35" s="849"/>
      <c r="DR35" s="849"/>
      <c r="DS35" s="849"/>
      <c r="DT35" s="849"/>
      <c r="DU35" s="849"/>
      <c r="DV35" s="849"/>
      <c r="DW35" s="849"/>
      <c r="DX35" s="849"/>
      <c r="DY35" s="849"/>
      <c r="DZ35" s="849"/>
      <c r="EA35" s="849"/>
      <c r="EB35" s="849"/>
      <c r="EC35" s="849"/>
      <c r="ED35" s="849"/>
      <c r="EE35" s="849"/>
      <c r="EF35" s="849"/>
      <c r="EG35" s="849"/>
      <c r="EH35" s="849"/>
      <c r="EI35" s="849"/>
      <c r="EJ35" s="849"/>
      <c r="EK35" s="849"/>
      <c r="EL35" s="849"/>
      <c r="EM35" s="849"/>
      <c r="EN35" s="849"/>
      <c r="EO35" s="849"/>
      <c r="EP35" s="849"/>
      <c r="EQ35" s="849"/>
      <c r="ER35" s="849"/>
      <c r="ES35" s="849"/>
      <c r="ET35" s="849"/>
      <c r="EU35" s="849"/>
      <c r="EV35" s="849"/>
      <c r="EW35" s="849"/>
      <c r="EX35" s="849"/>
      <c r="EY35" s="849"/>
      <c r="EZ35" s="849"/>
      <c r="FA35" s="849"/>
      <c r="FB35" s="849"/>
      <c r="FC35" s="849"/>
      <c r="FD35" s="849"/>
      <c r="FE35" s="849"/>
      <c r="FF35" s="849"/>
      <c r="FG35" s="849"/>
      <c r="FH35" s="849"/>
      <c r="FI35" s="849"/>
      <c r="FJ35" s="849"/>
      <c r="FK35" s="849"/>
      <c r="FL35" s="849"/>
      <c r="FM35" s="849"/>
      <c r="FN35" s="849"/>
      <c r="FO35" s="849"/>
      <c r="FP35" s="849"/>
      <c r="FQ35" s="849"/>
      <c r="FR35" s="849"/>
      <c r="FS35" s="849"/>
      <c r="FT35" s="849"/>
      <c r="FU35" s="849"/>
      <c r="FV35" s="849"/>
      <c r="FW35" s="849"/>
      <c r="FX35" s="849"/>
      <c r="FY35" s="849"/>
      <c r="FZ35" s="849"/>
      <c r="GA35" s="849"/>
      <c r="GB35" s="849"/>
      <c r="GC35" s="849"/>
      <c r="GD35" s="849"/>
      <c r="GE35" s="849"/>
      <c r="GF35" s="849"/>
      <c r="GG35" s="849"/>
      <c r="GH35" s="849"/>
      <c r="GI35" s="849"/>
      <c r="GJ35" s="849"/>
      <c r="GK35" s="849"/>
      <c r="GL35" s="849"/>
      <c r="GM35" s="849"/>
      <c r="GN35" s="849"/>
      <c r="GO35" s="849"/>
      <c r="GP35" s="849"/>
      <c r="GQ35" s="849"/>
      <c r="GR35" s="849"/>
      <c r="GS35" s="849"/>
      <c r="GT35" s="849"/>
      <c r="GU35" s="849"/>
      <c r="GV35" s="849"/>
      <c r="GW35" s="849"/>
      <c r="GX35" s="849"/>
      <c r="GY35" s="849"/>
      <c r="GZ35" s="849"/>
      <c r="HA35" s="849"/>
      <c r="HB35" s="849"/>
      <c r="HC35" s="849"/>
      <c r="HD35" s="849"/>
      <c r="HE35" s="849"/>
      <c r="HF35" s="849"/>
      <c r="HG35" s="849"/>
      <c r="HH35" s="849"/>
      <c r="HI35" s="849"/>
      <c r="HJ35" s="849"/>
      <c r="HK35" s="849"/>
      <c r="HL35" s="849"/>
      <c r="HM35" s="849"/>
      <c r="HN35" s="849"/>
      <c r="HO35" s="849"/>
      <c r="HP35" s="849"/>
      <c r="HQ35" s="849"/>
      <c r="HR35" s="849"/>
      <c r="HS35" s="849"/>
      <c r="HT35" s="849"/>
      <c r="HU35" s="849"/>
      <c r="HV35" s="849"/>
      <c r="HW35" s="849"/>
      <c r="HX35" s="849"/>
      <c r="HY35" s="849"/>
      <c r="HZ35" s="849"/>
      <c r="IA35" s="849"/>
      <c r="IB35" s="849"/>
      <c r="IC35" s="849"/>
      <c r="ID35" s="849"/>
      <c r="IE35" s="849"/>
      <c r="IF35" s="849"/>
      <c r="IG35" s="849"/>
      <c r="IH35" s="849"/>
      <c r="II35" s="849"/>
      <c r="IJ35" s="849"/>
      <c r="IK35" s="849"/>
      <c r="IL35" s="849"/>
      <c r="IM35" s="849"/>
      <c r="IN35" s="849"/>
      <c r="IO35" s="849"/>
      <c r="IP35" s="849"/>
      <c r="IQ35" s="849"/>
      <c r="IR35" s="849"/>
      <c r="IS35" s="849"/>
      <c r="IT35" s="849"/>
    </row>
    <row r="36" spans="1:254" s="848" customFormat="1" ht="4.5" customHeight="1" x14ac:dyDescent="0.25">
      <c r="A36" s="77"/>
      <c r="B36" s="77"/>
      <c r="C36" s="77"/>
      <c r="D36" s="77"/>
      <c r="E36" s="77"/>
      <c r="F36" s="77"/>
      <c r="G36" s="77"/>
      <c r="H36" s="77"/>
      <c r="I36" s="77"/>
      <c r="J36" s="77"/>
      <c r="K36" s="849"/>
      <c r="L36" s="849"/>
      <c r="M36" s="849"/>
      <c r="N36" s="849"/>
      <c r="O36" s="849"/>
      <c r="P36" s="849"/>
      <c r="Q36" s="849"/>
      <c r="R36" s="849"/>
      <c r="S36" s="849"/>
      <c r="T36" s="849"/>
      <c r="U36" s="849"/>
      <c r="V36" s="849"/>
      <c r="W36" s="849"/>
      <c r="X36" s="849"/>
      <c r="Y36" s="849"/>
      <c r="Z36" s="849"/>
      <c r="AA36" s="849"/>
      <c r="AB36" s="849"/>
      <c r="AC36" s="849"/>
      <c r="AD36" s="849"/>
      <c r="AE36" s="849"/>
      <c r="AF36" s="849"/>
      <c r="AG36" s="849"/>
      <c r="AH36" s="849"/>
      <c r="AI36" s="849"/>
      <c r="AJ36" s="849"/>
      <c r="AK36" s="849"/>
      <c r="AL36" s="849"/>
      <c r="AM36" s="849"/>
      <c r="AN36" s="849"/>
      <c r="AO36" s="849"/>
      <c r="AP36" s="849"/>
      <c r="AQ36" s="849"/>
      <c r="AR36" s="849"/>
      <c r="AS36" s="849"/>
      <c r="AT36" s="849"/>
      <c r="AU36" s="849"/>
      <c r="AV36" s="849"/>
      <c r="AW36" s="849"/>
      <c r="AX36" s="849"/>
      <c r="AY36" s="849"/>
      <c r="AZ36" s="849"/>
      <c r="BA36" s="849"/>
      <c r="BB36" s="849"/>
      <c r="BC36" s="849"/>
      <c r="BD36" s="849"/>
      <c r="BE36" s="849"/>
      <c r="BF36" s="849"/>
      <c r="BG36" s="849"/>
      <c r="BH36" s="849"/>
      <c r="BI36" s="849"/>
      <c r="BJ36" s="849"/>
      <c r="BK36" s="849"/>
      <c r="BL36" s="849"/>
      <c r="BM36" s="849"/>
      <c r="BN36" s="849"/>
      <c r="BO36" s="849"/>
      <c r="BP36" s="849"/>
      <c r="BQ36" s="849"/>
      <c r="BR36" s="849"/>
      <c r="BS36" s="849"/>
      <c r="BT36" s="849"/>
      <c r="BU36" s="849"/>
      <c r="BV36" s="849"/>
      <c r="BW36" s="849"/>
      <c r="BX36" s="849"/>
      <c r="BY36" s="849"/>
      <c r="BZ36" s="849"/>
      <c r="CA36" s="849"/>
      <c r="CB36" s="849"/>
      <c r="CC36" s="849"/>
      <c r="CD36" s="849"/>
      <c r="CE36" s="849"/>
      <c r="CF36" s="849"/>
      <c r="CG36" s="849"/>
      <c r="CH36" s="849"/>
      <c r="CI36" s="849"/>
      <c r="CJ36" s="849"/>
      <c r="CK36" s="849"/>
      <c r="CL36" s="849"/>
      <c r="CM36" s="849"/>
      <c r="CN36" s="849"/>
      <c r="CO36" s="849"/>
      <c r="CP36" s="849"/>
      <c r="CQ36" s="849"/>
      <c r="CR36" s="849"/>
      <c r="CS36" s="849"/>
      <c r="CT36" s="849"/>
      <c r="CU36" s="849"/>
      <c r="CV36" s="849"/>
      <c r="CW36" s="849"/>
      <c r="CX36" s="849"/>
      <c r="CY36" s="849"/>
      <c r="CZ36" s="849"/>
      <c r="DA36" s="849"/>
      <c r="DB36" s="849"/>
      <c r="DC36" s="849"/>
      <c r="DD36" s="849"/>
      <c r="DE36" s="849"/>
      <c r="DF36" s="849"/>
      <c r="DG36" s="849"/>
      <c r="DH36" s="849"/>
      <c r="DI36" s="849"/>
      <c r="DJ36" s="849"/>
      <c r="DK36" s="849"/>
      <c r="DL36" s="849"/>
      <c r="DM36" s="849"/>
      <c r="DN36" s="849"/>
      <c r="DO36" s="849"/>
      <c r="DP36" s="849"/>
      <c r="DQ36" s="849"/>
      <c r="DR36" s="849"/>
      <c r="DS36" s="849"/>
      <c r="DT36" s="849"/>
      <c r="DU36" s="849"/>
      <c r="DV36" s="849"/>
      <c r="DW36" s="849"/>
      <c r="DX36" s="849"/>
      <c r="DY36" s="849"/>
      <c r="DZ36" s="849"/>
      <c r="EA36" s="849"/>
      <c r="EB36" s="849"/>
      <c r="EC36" s="849"/>
      <c r="ED36" s="849"/>
      <c r="EE36" s="849"/>
      <c r="EF36" s="849"/>
      <c r="EG36" s="849"/>
      <c r="EH36" s="849"/>
      <c r="EI36" s="849"/>
      <c r="EJ36" s="849"/>
      <c r="EK36" s="849"/>
      <c r="EL36" s="849"/>
      <c r="EM36" s="849"/>
      <c r="EN36" s="849"/>
      <c r="EO36" s="849"/>
      <c r="EP36" s="849"/>
      <c r="EQ36" s="849"/>
      <c r="ER36" s="849"/>
      <c r="ES36" s="849"/>
      <c r="ET36" s="849"/>
      <c r="EU36" s="849"/>
      <c r="EV36" s="849"/>
      <c r="EW36" s="849"/>
      <c r="EX36" s="849"/>
      <c r="EY36" s="849"/>
      <c r="EZ36" s="849"/>
      <c r="FA36" s="849"/>
      <c r="FB36" s="849"/>
      <c r="FC36" s="849"/>
      <c r="FD36" s="849"/>
      <c r="FE36" s="849"/>
      <c r="FF36" s="849"/>
      <c r="FG36" s="849"/>
      <c r="FH36" s="849"/>
      <c r="FI36" s="849"/>
      <c r="FJ36" s="849"/>
      <c r="FK36" s="849"/>
      <c r="FL36" s="849"/>
      <c r="FM36" s="849"/>
      <c r="FN36" s="849"/>
      <c r="FO36" s="849"/>
      <c r="FP36" s="849"/>
      <c r="FQ36" s="849"/>
      <c r="FR36" s="849"/>
      <c r="FS36" s="849"/>
      <c r="FT36" s="849"/>
      <c r="FU36" s="849"/>
      <c r="FV36" s="849"/>
      <c r="FW36" s="849"/>
      <c r="FX36" s="849"/>
      <c r="FY36" s="849"/>
      <c r="FZ36" s="849"/>
      <c r="GA36" s="849"/>
      <c r="GB36" s="849"/>
      <c r="GC36" s="849"/>
      <c r="GD36" s="849"/>
      <c r="GE36" s="849"/>
      <c r="GF36" s="849"/>
      <c r="GG36" s="849"/>
      <c r="GH36" s="849"/>
      <c r="GI36" s="849"/>
      <c r="GJ36" s="849"/>
      <c r="GK36" s="849"/>
      <c r="GL36" s="849"/>
      <c r="GM36" s="849"/>
      <c r="GN36" s="849"/>
      <c r="GO36" s="849"/>
      <c r="GP36" s="849"/>
      <c r="GQ36" s="849"/>
      <c r="GR36" s="849"/>
      <c r="GS36" s="849"/>
      <c r="GT36" s="849"/>
      <c r="GU36" s="849"/>
      <c r="GV36" s="849"/>
      <c r="GW36" s="849"/>
      <c r="GX36" s="849"/>
      <c r="GY36" s="849"/>
      <c r="GZ36" s="849"/>
      <c r="HA36" s="849"/>
      <c r="HB36" s="849"/>
      <c r="HC36" s="849"/>
      <c r="HD36" s="849"/>
      <c r="HE36" s="849"/>
      <c r="HF36" s="849"/>
      <c r="HG36" s="849"/>
      <c r="HH36" s="849"/>
      <c r="HI36" s="849"/>
      <c r="HJ36" s="849"/>
      <c r="HK36" s="849"/>
      <c r="HL36" s="849"/>
      <c r="HM36" s="849"/>
      <c r="HN36" s="849"/>
      <c r="HO36" s="849"/>
      <c r="HP36" s="849"/>
      <c r="HQ36" s="849"/>
      <c r="HR36" s="849"/>
      <c r="HS36" s="849"/>
      <c r="HT36" s="849"/>
      <c r="HU36" s="849"/>
      <c r="HV36" s="849"/>
      <c r="HW36" s="849"/>
      <c r="HX36" s="849"/>
      <c r="HY36" s="849"/>
      <c r="HZ36" s="849"/>
      <c r="IA36" s="849"/>
      <c r="IB36" s="849"/>
      <c r="IC36" s="849"/>
      <c r="ID36" s="849"/>
      <c r="IE36" s="849"/>
      <c r="IF36" s="849"/>
      <c r="IG36" s="849"/>
      <c r="IH36" s="849"/>
      <c r="II36" s="849"/>
      <c r="IJ36" s="849"/>
      <c r="IK36" s="849"/>
      <c r="IL36" s="849"/>
      <c r="IM36" s="849"/>
      <c r="IN36" s="849"/>
      <c r="IO36" s="849"/>
      <c r="IP36" s="849"/>
      <c r="IQ36" s="849"/>
      <c r="IR36" s="849"/>
      <c r="IS36" s="849"/>
      <c r="IT36" s="849"/>
    </row>
    <row r="37" spans="1:254" s="723" customFormat="1" ht="19.5" customHeight="1" x14ac:dyDescent="0.2">
      <c r="A37" s="2475"/>
      <c r="B37" s="2476"/>
      <c r="C37" s="2476"/>
      <c r="D37" s="2476"/>
      <c r="E37" s="2476"/>
      <c r="F37" s="2476"/>
      <c r="G37" s="2476"/>
      <c r="H37" s="2476"/>
      <c r="I37" s="2476"/>
      <c r="J37" s="2477"/>
      <c r="R37" s="849"/>
      <c r="S37" s="849"/>
      <c r="T37" s="849"/>
      <c r="U37" s="849"/>
      <c r="V37" s="849"/>
      <c r="W37" s="849"/>
      <c r="X37" s="849"/>
      <c r="Y37" s="849"/>
      <c r="Z37" s="849"/>
      <c r="AA37" s="849"/>
      <c r="AB37" s="849"/>
      <c r="AC37" s="849"/>
      <c r="AD37" s="849"/>
      <c r="AE37" s="849"/>
      <c r="AF37" s="849"/>
      <c r="AG37" s="849"/>
      <c r="AH37" s="849"/>
      <c r="AI37" s="849"/>
      <c r="AJ37" s="849"/>
      <c r="AK37" s="849"/>
      <c r="AL37" s="849"/>
      <c r="AM37" s="849"/>
      <c r="AN37" s="849"/>
      <c r="AO37" s="849"/>
      <c r="AP37" s="849"/>
      <c r="AQ37" s="849"/>
      <c r="AR37" s="849"/>
      <c r="AS37" s="849"/>
      <c r="AT37" s="849"/>
      <c r="AU37" s="849"/>
      <c r="AV37" s="849"/>
      <c r="AW37" s="849"/>
      <c r="AX37" s="849"/>
      <c r="AY37" s="849"/>
      <c r="AZ37" s="849"/>
      <c r="BA37" s="849"/>
      <c r="BB37" s="849"/>
      <c r="BC37" s="849"/>
      <c r="BD37" s="849"/>
      <c r="BE37" s="849"/>
      <c r="BF37" s="849"/>
      <c r="BG37" s="849"/>
      <c r="BH37" s="849"/>
      <c r="BI37" s="849"/>
      <c r="BJ37" s="849"/>
      <c r="BK37" s="849"/>
      <c r="BL37" s="849"/>
      <c r="BM37" s="849"/>
      <c r="BN37" s="849"/>
      <c r="BO37" s="849"/>
      <c r="BP37" s="849"/>
      <c r="BQ37" s="849"/>
      <c r="BR37" s="849"/>
      <c r="BS37" s="849"/>
      <c r="BT37" s="849"/>
      <c r="BU37" s="849"/>
      <c r="BV37" s="849"/>
      <c r="BW37" s="849"/>
      <c r="BX37" s="849"/>
      <c r="BY37" s="849"/>
      <c r="BZ37" s="849"/>
      <c r="CA37" s="849"/>
      <c r="CB37" s="849"/>
      <c r="CC37" s="849"/>
      <c r="CD37" s="849"/>
      <c r="CE37" s="849"/>
      <c r="CF37" s="849"/>
      <c r="CG37" s="849"/>
      <c r="CH37" s="849"/>
      <c r="CI37" s="849"/>
      <c r="CJ37" s="849"/>
      <c r="CK37" s="849"/>
      <c r="CL37" s="849"/>
      <c r="CM37" s="849"/>
      <c r="CN37" s="849"/>
      <c r="CO37" s="849"/>
      <c r="CP37" s="849"/>
      <c r="CQ37" s="849"/>
      <c r="CR37" s="849"/>
      <c r="CS37" s="849"/>
      <c r="CT37" s="849"/>
      <c r="CU37" s="849"/>
      <c r="CV37" s="849"/>
      <c r="CW37" s="849"/>
      <c r="CX37" s="849"/>
      <c r="CY37" s="849"/>
      <c r="CZ37" s="849"/>
      <c r="DA37" s="849"/>
      <c r="DB37" s="849"/>
      <c r="DC37" s="849"/>
      <c r="DD37" s="849"/>
      <c r="DE37" s="849"/>
      <c r="DF37" s="849"/>
      <c r="DG37" s="849"/>
      <c r="DH37" s="849"/>
      <c r="DI37" s="849"/>
      <c r="DJ37" s="849"/>
      <c r="DK37" s="849"/>
      <c r="DL37" s="849"/>
      <c r="DM37" s="849"/>
      <c r="DN37" s="849"/>
      <c r="DO37" s="849"/>
      <c r="DP37" s="849"/>
      <c r="DQ37" s="849"/>
      <c r="DR37" s="849"/>
      <c r="DS37" s="849"/>
      <c r="DT37" s="849"/>
      <c r="DU37" s="849"/>
      <c r="DV37" s="849"/>
      <c r="DW37" s="849"/>
      <c r="DX37" s="849"/>
      <c r="DY37" s="849"/>
      <c r="DZ37" s="849"/>
      <c r="EA37" s="849"/>
      <c r="EB37" s="849"/>
      <c r="EC37" s="849"/>
      <c r="ED37" s="849"/>
      <c r="EE37" s="849"/>
      <c r="EF37" s="849"/>
      <c r="EG37" s="849"/>
      <c r="EH37" s="849"/>
      <c r="EI37" s="849"/>
      <c r="EJ37" s="849"/>
      <c r="EK37" s="849"/>
      <c r="EL37" s="849"/>
      <c r="EM37" s="849"/>
      <c r="EN37" s="849"/>
      <c r="EO37" s="849"/>
      <c r="EP37" s="849"/>
      <c r="EQ37" s="849"/>
      <c r="ER37" s="849"/>
      <c r="ES37" s="849"/>
      <c r="ET37" s="849"/>
      <c r="EU37" s="849"/>
      <c r="EV37" s="849"/>
      <c r="EW37" s="849"/>
      <c r="EX37" s="849"/>
      <c r="EY37" s="849"/>
      <c r="EZ37" s="849"/>
      <c r="FA37" s="849"/>
      <c r="FB37" s="849"/>
      <c r="FC37" s="849"/>
      <c r="FD37" s="849"/>
      <c r="FE37" s="849"/>
      <c r="FF37" s="849"/>
      <c r="FG37" s="849"/>
      <c r="FH37" s="849"/>
      <c r="FI37" s="849"/>
      <c r="FJ37" s="849"/>
      <c r="FK37" s="849"/>
      <c r="FL37" s="849"/>
      <c r="FM37" s="849"/>
      <c r="FN37" s="849"/>
      <c r="FO37" s="849"/>
      <c r="FP37" s="849"/>
      <c r="FQ37" s="849"/>
      <c r="FR37" s="849"/>
      <c r="FS37" s="849"/>
      <c r="FT37" s="849"/>
      <c r="FU37" s="849"/>
      <c r="FV37" s="849"/>
      <c r="FW37" s="849"/>
      <c r="FX37" s="849"/>
      <c r="FY37" s="849"/>
      <c r="FZ37" s="849"/>
      <c r="GA37" s="849"/>
      <c r="GB37" s="849"/>
      <c r="GC37" s="849"/>
      <c r="GD37" s="849"/>
      <c r="GE37" s="849"/>
      <c r="GF37" s="849"/>
      <c r="GG37" s="849"/>
      <c r="GH37" s="849"/>
      <c r="GI37" s="849"/>
      <c r="GJ37" s="849"/>
      <c r="GK37" s="849"/>
      <c r="GL37" s="849"/>
      <c r="GM37" s="849"/>
      <c r="GN37" s="849"/>
      <c r="GO37" s="849"/>
      <c r="GP37" s="849"/>
      <c r="GQ37" s="849"/>
      <c r="GR37" s="849"/>
      <c r="GS37" s="849"/>
      <c r="GT37" s="849"/>
      <c r="GU37" s="849"/>
      <c r="GV37" s="849"/>
      <c r="GW37" s="849"/>
      <c r="GX37" s="849"/>
      <c r="GY37" s="849"/>
      <c r="GZ37" s="849"/>
      <c r="HA37" s="849"/>
      <c r="HB37" s="849"/>
      <c r="HC37" s="849"/>
      <c r="HD37" s="849"/>
      <c r="HE37" s="849"/>
      <c r="HF37" s="849"/>
      <c r="HG37" s="849"/>
      <c r="HH37" s="849"/>
      <c r="HI37" s="849"/>
      <c r="HJ37" s="849"/>
      <c r="HK37" s="849"/>
      <c r="HL37" s="849"/>
      <c r="HM37" s="849"/>
      <c r="HN37" s="849"/>
      <c r="HO37" s="849"/>
      <c r="HP37" s="849"/>
      <c r="HQ37" s="849"/>
      <c r="HR37" s="849"/>
      <c r="HS37" s="849"/>
      <c r="HT37" s="849"/>
      <c r="HU37" s="849"/>
      <c r="HV37" s="849"/>
      <c r="HW37" s="849"/>
      <c r="HX37" s="849"/>
      <c r="HY37" s="849"/>
      <c r="HZ37" s="849"/>
      <c r="IA37" s="849"/>
      <c r="IB37" s="849"/>
      <c r="IC37" s="849"/>
      <c r="ID37" s="849"/>
      <c r="IE37" s="849"/>
      <c r="IF37" s="849"/>
      <c r="IG37" s="849"/>
      <c r="IH37" s="849"/>
      <c r="II37" s="849"/>
      <c r="IJ37" s="849"/>
      <c r="IK37" s="849"/>
      <c r="IL37" s="849"/>
      <c r="IM37" s="849"/>
      <c r="IN37" s="849"/>
      <c r="IO37" s="849"/>
      <c r="IP37" s="849"/>
      <c r="IQ37" s="849"/>
      <c r="IR37" s="849"/>
      <c r="IS37" s="849"/>
      <c r="IT37" s="849"/>
    </row>
    <row r="38" spans="1:254" s="723" customFormat="1" ht="19.5" customHeight="1" x14ac:dyDescent="0.2">
      <c r="A38" s="2478"/>
      <c r="B38" s="2479"/>
      <c r="C38" s="2479"/>
      <c r="D38" s="2479"/>
      <c r="E38" s="2479"/>
      <c r="F38" s="2479"/>
      <c r="G38" s="2479"/>
      <c r="H38" s="2479"/>
      <c r="I38" s="2479"/>
      <c r="J38" s="2480"/>
      <c r="R38" s="849"/>
      <c r="S38" s="849"/>
      <c r="T38" s="849"/>
      <c r="U38" s="849"/>
      <c r="V38" s="849"/>
      <c r="W38" s="849"/>
      <c r="X38" s="849"/>
      <c r="Y38" s="849"/>
      <c r="Z38" s="849"/>
      <c r="AA38" s="849"/>
      <c r="AB38" s="849"/>
      <c r="AC38" s="849"/>
      <c r="AD38" s="849"/>
      <c r="AE38" s="849"/>
      <c r="AF38" s="849"/>
      <c r="AG38" s="849"/>
      <c r="AH38" s="849"/>
      <c r="AI38" s="849"/>
      <c r="AJ38" s="849"/>
      <c r="AK38" s="849"/>
      <c r="AL38" s="849"/>
      <c r="AM38" s="849"/>
      <c r="AN38" s="849"/>
      <c r="AO38" s="849"/>
      <c r="AP38" s="849"/>
      <c r="AQ38" s="849"/>
      <c r="AR38" s="849"/>
      <c r="AS38" s="849"/>
      <c r="AT38" s="849"/>
      <c r="AU38" s="849"/>
      <c r="AV38" s="849"/>
      <c r="AW38" s="849"/>
      <c r="AX38" s="849"/>
      <c r="AY38" s="849"/>
      <c r="AZ38" s="849"/>
      <c r="BA38" s="849"/>
      <c r="BB38" s="849"/>
      <c r="BC38" s="849"/>
      <c r="BD38" s="849"/>
      <c r="BE38" s="849"/>
      <c r="BF38" s="849"/>
      <c r="BG38" s="849"/>
      <c r="BH38" s="849"/>
      <c r="BI38" s="849"/>
      <c r="BJ38" s="849"/>
      <c r="BK38" s="849"/>
      <c r="BL38" s="849"/>
      <c r="BM38" s="849"/>
      <c r="BN38" s="849"/>
      <c r="BO38" s="849"/>
      <c r="BP38" s="849"/>
      <c r="BQ38" s="849"/>
      <c r="BR38" s="849"/>
      <c r="BS38" s="849"/>
      <c r="BT38" s="849"/>
      <c r="BU38" s="849"/>
      <c r="BV38" s="849"/>
      <c r="BW38" s="849"/>
      <c r="BX38" s="849"/>
      <c r="BY38" s="849"/>
      <c r="BZ38" s="849"/>
      <c r="CA38" s="849"/>
      <c r="CB38" s="849"/>
      <c r="CC38" s="849"/>
      <c r="CD38" s="849"/>
      <c r="CE38" s="849"/>
      <c r="CF38" s="849"/>
      <c r="CG38" s="849"/>
      <c r="CH38" s="849"/>
      <c r="CI38" s="849"/>
      <c r="CJ38" s="849"/>
      <c r="CK38" s="849"/>
      <c r="CL38" s="849"/>
      <c r="CM38" s="849"/>
      <c r="CN38" s="849"/>
      <c r="CO38" s="849"/>
      <c r="CP38" s="849"/>
      <c r="CQ38" s="849"/>
      <c r="CR38" s="849"/>
      <c r="CS38" s="849"/>
      <c r="CT38" s="849"/>
      <c r="CU38" s="849"/>
      <c r="CV38" s="849"/>
      <c r="CW38" s="849"/>
      <c r="CX38" s="849"/>
      <c r="CY38" s="849"/>
      <c r="CZ38" s="849"/>
      <c r="DA38" s="849"/>
      <c r="DB38" s="849"/>
      <c r="DC38" s="849"/>
      <c r="DD38" s="849"/>
      <c r="DE38" s="849"/>
      <c r="DF38" s="849"/>
      <c r="DG38" s="849"/>
      <c r="DH38" s="849"/>
      <c r="DI38" s="849"/>
      <c r="DJ38" s="849"/>
      <c r="DK38" s="849"/>
      <c r="DL38" s="849"/>
      <c r="DM38" s="849"/>
      <c r="DN38" s="849"/>
      <c r="DO38" s="849"/>
      <c r="DP38" s="849"/>
      <c r="DQ38" s="849"/>
      <c r="DR38" s="849"/>
      <c r="DS38" s="849"/>
      <c r="DT38" s="849"/>
      <c r="DU38" s="849"/>
      <c r="DV38" s="849"/>
      <c r="DW38" s="849"/>
      <c r="DX38" s="849"/>
      <c r="DY38" s="849"/>
      <c r="DZ38" s="849"/>
      <c r="EA38" s="849"/>
      <c r="EB38" s="849"/>
      <c r="EC38" s="849"/>
      <c r="ED38" s="849"/>
      <c r="EE38" s="849"/>
      <c r="EF38" s="849"/>
      <c r="EG38" s="849"/>
      <c r="EH38" s="849"/>
      <c r="EI38" s="849"/>
      <c r="EJ38" s="849"/>
      <c r="EK38" s="849"/>
      <c r="EL38" s="849"/>
      <c r="EM38" s="849"/>
      <c r="EN38" s="849"/>
      <c r="EO38" s="849"/>
      <c r="EP38" s="849"/>
      <c r="EQ38" s="849"/>
      <c r="ER38" s="849"/>
      <c r="ES38" s="849"/>
      <c r="ET38" s="849"/>
      <c r="EU38" s="849"/>
      <c r="EV38" s="849"/>
      <c r="EW38" s="849"/>
      <c r="EX38" s="849"/>
      <c r="EY38" s="849"/>
      <c r="EZ38" s="849"/>
      <c r="FA38" s="849"/>
      <c r="FB38" s="849"/>
      <c r="FC38" s="849"/>
      <c r="FD38" s="849"/>
      <c r="FE38" s="849"/>
      <c r="FF38" s="849"/>
      <c r="FG38" s="849"/>
      <c r="FH38" s="849"/>
      <c r="FI38" s="849"/>
      <c r="FJ38" s="849"/>
      <c r="FK38" s="849"/>
      <c r="FL38" s="849"/>
      <c r="FM38" s="849"/>
      <c r="FN38" s="849"/>
      <c r="FO38" s="849"/>
      <c r="FP38" s="849"/>
      <c r="FQ38" s="849"/>
      <c r="FR38" s="849"/>
      <c r="FS38" s="849"/>
      <c r="FT38" s="849"/>
      <c r="FU38" s="849"/>
      <c r="FV38" s="849"/>
      <c r="FW38" s="849"/>
      <c r="FX38" s="849"/>
      <c r="FY38" s="849"/>
      <c r="FZ38" s="849"/>
      <c r="GA38" s="849"/>
      <c r="GB38" s="849"/>
      <c r="GC38" s="849"/>
      <c r="GD38" s="849"/>
      <c r="GE38" s="849"/>
      <c r="GF38" s="849"/>
      <c r="GG38" s="849"/>
      <c r="GH38" s="849"/>
      <c r="GI38" s="849"/>
      <c r="GJ38" s="849"/>
      <c r="GK38" s="849"/>
      <c r="GL38" s="849"/>
      <c r="GM38" s="849"/>
      <c r="GN38" s="849"/>
      <c r="GO38" s="849"/>
      <c r="GP38" s="849"/>
      <c r="GQ38" s="849"/>
      <c r="GR38" s="849"/>
      <c r="GS38" s="849"/>
      <c r="GT38" s="849"/>
      <c r="GU38" s="849"/>
      <c r="GV38" s="849"/>
      <c r="GW38" s="849"/>
      <c r="GX38" s="849"/>
      <c r="GY38" s="849"/>
      <c r="GZ38" s="849"/>
      <c r="HA38" s="849"/>
      <c r="HB38" s="849"/>
      <c r="HC38" s="849"/>
      <c r="HD38" s="849"/>
      <c r="HE38" s="849"/>
      <c r="HF38" s="849"/>
      <c r="HG38" s="849"/>
      <c r="HH38" s="849"/>
      <c r="HI38" s="849"/>
      <c r="HJ38" s="849"/>
      <c r="HK38" s="849"/>
      <c r="HL38" s="849"/>
      <c r="HM38" s="849"/>
      <c r="HN38" s="849"/>
      <c r="HO38" s="849"/>
      <c r="HP38" s="849"/>
      <c r="HQ38" s="849"/>
      <c r="HR38" s="849"/>
      <c r="HS38" s="849"/>
      <c r="HT38" s="849"/>
      <c r="HU38" s="849"/>
      <c r="HV38" s="849"/>
      <c r="HW38" s="849"/>
      <c r="HX38" s="849"/>
      <c r="HY38" s="849"/>
      <c r="HZ38" s="849"/>
      <c r="IA38" s="849"/>
      <c r="IB38" s="849"/>
      <c r="IC38" s="849"/>
      <c r="ID38" s="849"/>
      <c r="IE38" s="849"/>
      <c r="IF38" s="849"/>
      <c r="IG38" s="849"/>
      <c r="IH38" s="849"/>
      <c r="II38" s="849"/>
      <c r="IJ38" s="849"/>
      <c r="IK38" s="849"/>
      <c r="IL38" s="849"/>
      <c r="IM38" s="849"/>
      <c r="IN38" s="849"/>
      <c r="IO38" s="849"/>
      <c r="IP38" s="849"/>
      <c r="IQ38" s="849"/>
      <c r="IR38" s="849"/>
      <c r="IS38" s="849"/>
      <c r="IT38" s="849"/>
    </row>
    <row r="39" spans="1:254" s="723" customFormat="1" ht="19.5" customHeight="1" x14ac:dyDescent="0.2">
      <c r="A39" s="2478"/>
      <c r="B39" s="2479"/>
      <c r="C39" s="2479"/>
      <c r="D39" s="2479"/>
      <c r="E39" s="2479"/>
      <c r="F39" s="2479"/>
      <c r="G39" s="2479"/>
      <c r="H39" s="2479"/>
      <c r="I39" s="2479"/>
      <c r="J39" s="2480"/>
      <c r="R39" s="849"/>
      <c r="S39" s="849"/>
      <c r="T39" s="849"/>
      <c r="U39" s="849"/>
      <c r="V39" s="849"/>
      <c r="W39" s="849"/>
      <c r="X39" s="849"/>
      <c r="Y39" s="849"/>
      <c r="Z39" s="849"/>
      <c r="AA39" s="849"/>
      <c r="AB39" s="849"/>
      <c r="AC39" s="849"/>
      <c r="AD39" s="849"/>
      <c r="AE39" s="849"/>
      <c r="AF39" s="849"/>
      <c r="AG39" s="849"/>
      <c r="AH39" s="849"/>
      <c r="AI39" s="849"/>
      <c r="AJ39" s="849"/>
      <c r="AK39" s="849"/>
      <c r="AL39" s="849"/>
      <c r="AM39" s="849"/>
      <c r="AN39" s="849"/>
      <c r="AO39" s="849"/>
      <c r="AP39" s="849"/>
      <c r="AQ39" s="849"/>
      <c r="AR39" s="849"/>
      <c r="AS39" s="849"/>
      <c r="AT39" s="849"/>
      <c r="AU39" s="849"/>
      <c r="AV39" s="849"/>
      <c r="AW39" s="849"/>
      <c r="AX39" s="849"/>
      <c r="AY39" s="849"/>
      <c r="AZ39" s="849"/>
      <c r="BA39" s="849"/>
      <c r="BB39" s="849"/>
      <c r="BC39" s="849"/>
      <c r="BD39" s="849"/>
      <c r="BE39" s="849"/>
      <c r="BF39" s="849"/>
      <c r="BG39" s="849"/>
      <c r="BH39" s="849"/>
      <c r="BI39" s="849"/>
      <c r="BJ39" s="849"/>
      <c r="BK39" s="849"/>
      <c r="BL39" s="849"/>
      <c r="BM39" s="849"/>
      <c r="BN39" s="849"/>
      <c r="BO39" s="849"/>
      <c r="BP39" s="849"/>
      <c r="BQ39" s="849"/>
      <c r="BR39" s="849"/>
      <c r="BS39" s="849"/>
      <c r="BT39" s="849"/>
      <c r="BU39" s="849"/>
      <c r="BV39" s="849"/>
      <c r="BW39" s="849"/>
      <c r="BX39" s="849"/>
      <c r="BY39" s="849"/>
      <c r="BZ39" s="849"/>
      <c r="CA39" s="849"/>
      <c r="CB39" s="849"/>
      <c r="CC39" s="849"/>
      <c r="CD39" s="849"/>
      <c r="CE39" s="849"/>
      <c r="CF39" s="849"/>
      <c r="CG39" s="849"/>
      <c r="CH39" s="849"/>
      <c r="CI39" s="849"/>
      <c r="CJ39" s="849"/>
      <c r="CK39" s="849"/>
      <c r="CL39" s="849"/>
      <c r="CM39" s="849"/>
      <c r="CN39" s="849"/>
      <c r="CO39" s="849"/>
      <c r="CP39" s="849"/>
      <c r="CQ39" s="849"/>
      <c r="CR39" s="849"/>
      <c r="CS39" s="849"/>
      <c r="CT39" s="849"/>
      <c r="CU39" s="849"/>
      <c r="CV39" s="849"/>
      <c r="CW39" s="849"/>
      <c r="CX39" s="849"/>
      <c r="CY39" s="849"/>
      <c r="CZ39" s="849"/>
      <c r="DA39" s="849"/>
      <c r="DB39" s="849"/>
      <c r="DC39" s="849"/>
      <c r="DD39" s="849"/>
      <c r="DE39" s="849"/>
      <c r="DF39" s="849"/>
      <c r="DG39" s="849"/>
      <c r="DH39" s="849"/>
      <c r="DI39" s="849"/>
      <c r="DJ39" s="849"/>
      <c r="DK39" s="849"/>
      <c r="DL39" s="849"/>
      <c r="DM39" s="849"/>
      <c r="DN39" s="849"/>
      <c r="DO39" s="849"/>
      <c r="DP39" s="849"/>
      <c r="DQ39" s="849"/>
      <c r="DR39" s="849"/>
      <c r="DS39" s="849"/>
      <c r="DT39" s="849"/>
      <c r="DU39" s="849"/>
      <c r="DV39" s="849"/>
      <c r="DW39" s="849"/>
      <c r="DX39" s="849"/>
      <c r="DY39" s="849"/>
      <c r="DZ39" s="849"/>
      <c r="EA39" s="849"/>
      <c r="EB39" s="849"/>
      <c r="EC39" s="849"/>
      <c r="ED39" s="849"/>
      <c r="EE39" s="849"/>
      <c r="EF39" s="849"/>
      <c r="EG39" s="849"/>
      <c r="EH39" s="849"/>
      <c r="EI39" s="849"/>
      <c r="EJ39" s="849"/>
      <c r="EK39" s="849"/>
      <c r="EL39" s="849"/>
      <c r="EM39" s="849"/>
      <c r="EN39" s="849"/>
      <c r="EO39" s="849"/>
      <c r="EP39" s="849"/>
      <c r="EQ39" s="849"/>
      <c r="ER39" s="849"/>
      <c r="ES39" s="849"/>
      <c r="ET39" s="849"/>
      <c r="EU39" s="849"/>
      <c r="EV39" s="849"/>
      <c r="EW39" s="849"/>
      <c r="EX39" s="849"/>
      <c r="EY39" s="849"/>
      <c r="EZ39" s="849"/>
      <c r="FA39" s="849"/>
      <c r="FB39" s="849"/>
      <c r="FC39" s="849"/>
      <c r="FD39" s="849"/>
      <c r="FE39" s="849"/>
      <c r="FF39" s="849"/>
      <c r="FG39" s="849"/>
      <c r="FH39" s="849"/>
      <c r="FI39" s="849"/>
      <c r="FJ39" s="849"/>
      <c r="FK39" s="849"/>
      <c r="FL39" s="849"/>
      <c r="FM39" s="849"/>
      <c r="FN39" s="849"/>
      <c r="FO39" s="849"/>
      <c r="FP39" s="849"/>
      <c r="FQ39" s="849"/>
      <c r="FR39" s="849"/>
      <c r="FS39" s="849"/>
      <c r="FT39" s="849"/>
      <c r="FU39" s="849"/>
      <c r="FV39" s="849"/>
      <c r="FW39" s="849"/>
      <c r="FX39" s="849"/>
      <c r="FY39" s="849"/>
      <c r="FZ39" s="849"/>
      <c r="GA39" s="849"/>
      <c r="GB39" s="849"/>
      <c r="GC39" s="849"/>
      <c r="GD39" s="849"/>
      <c r="GE39" s="849"/>
      <c r="GF39" s="849"/>
      <c r="GG39" s="849"/>
      <c r="GH39" s="849"/>
      <c r="GI39" s="849"/>
      <c r="GJ39" s="849"/>
      <c r="GK39" s="849"/>
      <c r="GL39" s="849"/>
      <c r="GM39" s="849"/>
      <c r="GN39" s="849"/>
      <c r="GO39" s="849"/>
      <c r="GP39" s="849"/>
      <c r="GQ39" s="849"/>
      <c r="GR39" s="849"/>
      <c r="GS39" s="849"/>
      <c r="GT39" s="849"/>
      <c r="GU39" s="849"/>
      <c r="GV39" s="849"/>
      <c r="GW39" s="849"/>
      <c r="GX39" s="849"/>
      <c r="GY39" s="849"/>
      <c r="GZ39" s="849"/>
      <c r="HA39" s="849"/>
      <c r="HB39" s="849"/>
      <c r="HC39" s="849"/>
      <c r="HD39" s="849"/>
      <c r="HE39" s="849"/>
      <c r="HF39" s="849"/>
      <c r="HG39" s="849"/>
      <c r="HH39" s="849"/>
      <c r="HI39" s="849"/>
      <c r="HJ39" s="849"/>
      <c r="HK39" s="849"/>
      <c r="HL39" s="849"/>
      <c r="HM39" s="849"/>
      <c r="HN39" s="849"/>
      <c r="HO39" s="849"/>
      <c r="HP39" s="849"/>
      <c r="HQ39" s="849"/>
      <c r="HR39" s="849"/>
      <c r="HS39" s="849"/>
      <c r="HT39" s="849"/>
      <c r="HU39" s="849"/>
      <c r="HV39" s="849"/>
      <c r="HW39" s="849"/>
      <c r="HX39" s="849"/>
      <c r="HY39" s="849"/>
      <c r="HZ39" s="849"/>
      <c r="IA39" s="849"/>
      <c r="IB39" s="849"/>
      <c r="IC39" s="849"/>
      <c r="ID39" s="849"/>
      <c r="IE39" s="849"/>
      <c r="IF39" s="849"/>
      <c r="IG39" s="849"/>
      <c r="IH39" s="849"/>
      <c r="II39" s="849"/>
      <c r="IJ39" s="849"/>
      <c r="IK39" s="849"/>
      <c r="IL39" s="849"/>
      <c r="IM39" s="849"/>
      <c r="IN39" s="849"/>
      <c r="IO39" s="849"/>
      <c r="IP39" s="849"/>
      <c r="IQ39" s="849"/>
      <c r="IR39" s="849"/>
      <c r="IS39" s="849"/>
      <c r="IT39" s="849"/>
    </row>
    <row r="40" spans="1:254" s="723" customFormat="1" ht="19.5" customHeight="1" x14ac:dyDescent="0.2">
      <c r="A40" s="2481"/>
      <c r="B40" s="2482"/>
      <c r="C40" s="2482"/>
      <c r="D40" s="2482"/>
      <c r="E40" s="2482"/>
      <c r="F40" s="2482"/>
      <c r="G40" s="2482"/>
      <c r="H40" s="2482"/>
      <c r="I40" s="2482"/>
      <c r="J40" s="2483"/>
      <c r="R40" s="849"/>
      <c r="S40" s="849"/>
      <c r="T40" s="849"/>
      <c r="U40" s="849"/>
      <c r="V40" s="849"/>
      <c r="W40" s="849"/>
      <c r="X40" s="849"/>
      <c r="Y40" s="849"/>
      <c r="Z40" s="849"/>
      <c r="AA40" s="849"/>
      <c r="AB40" s="849"/>
      <c r="AC40" s="849"/>
      <c r="AD40" s="849"/>
      <c r="AE40" s="849"/>
      <c r="AF40" s="849"/>
      <c r="AG40" s="849"/>
      <c r="AH40" s="849"/>
      <c r="AI40" s="849"/>
      <c r="AJ40" s="849"/>
      <c r="AK40" s="849"/>
      <c r="AL40" s="849"/>
      <c r="AM40" s="849"/>
      <c r="AN40" s="849"/>
      <c r="AO40" s="849"/>
      <c r="AP40" s="849"/>
      <c r="AQ40" s="849"/>
      <c r="AR40" s="849"/>
      <c r="AS40" s="849"/>
      <c r="AT40" s="849"/>
      <c r="AU40" s="849"/>
      <c r="AV40" s="849"/>
      <c r="AW40" s="849"/>
      <c r="AX40" s="849"/>
      <c r="AY40" s="849"/>
      <c r="AZ40" s="849"/>
      <c r="BA40" s="849"/>
      <c r="BB40" s="849"/>
      <c r="BC40" s="849"/>
      <c r="BD40" s="849"/>
      <c r="BE40" s="849"/>
      <c r="BF40" s="849"/>
      <c r="BG40" s="849"/>
      <c r="BH40" s="849"/>
      <c r="BI40" s="849"/>
      <c r="BJ40" s="849"/>
      <c r="BK40" s="849"/>
      <c r="BL40" s="849"/>
      <c r="BM40" s="849"/>
      <c r="BN40" s="849"/>
      <c r="BO40" s="849"/>
      <c r="BP40" s="849"/>
      <c r="BQ40" s="849"/>
      <c r="BR40" s="849"/>
      <c r="BS40" s="849"/>
      <c r="BT40" s="849"/>
      <c r="BU40" s="849"/>
      <c r="BV40" s="849"/>
      <c r="BW40" s="849"/>
      <c r="BX40" s="849"/>
      <c r="BY40" s="849"/>
      <c r="BZ40" s="849"/>
      <c r="CA40" s="849"/>
      <c r="CB40" s="849"/>
      <c r="CC40" s="849"/>
      <c r="CD40" s="849"/>
      <c r="CE40" s="849"/>
      <c r="CF40" s="849"/>
      <c r="CG40" s="849"/>
      <c r="CH40" s="849"/>
      <c r="CI40" s="849"/>
      <c r="CJ40" s="849"/>
      <c r="CK40" s="849"/>
      <c r="CL40" s="849"/>
      <c r="CM40" s="849"/>
      <c r="CN40" s="849"/>
      <c r="CO40" s="849"/>
      <c r="CP40" s="849"/>
      <c r="CQ40" s="849"/>
      <c r="CR40" s="849"/>
      <c r="CS40" s="849"/>
      <c r="CT40" s="849"/>
      <c r="CU40" s="849"/>
      <c r="CV40" s="849"/>
      <c r="CW40" s="849"/>
      <c r="CX40" s="849"/>
      <c r="CY40" s="849"/>
      <c r="CZ40" s="849"/>
      <c r="DA40" s="849"/>
      <c r="DB40" s="849"/>
      <c r="DC40" s="849"/>
      <c r="DD40" s="849"/>
      <c r="DE40" s="849"/>
      <c r="DF40" s="849"/>
      <c r="DG40" s="849"/>
      <c r="DH40" s="849"/>
      <c r="DI40" s="849"/>
      <c r="DJ40" s="849"/>
      <c r="DK40" s="849"/>
      <c r="DL40" s="849"/>
      <c r="DM40" s="849"/>
      <c r="DN40" s="849"/>
      <c r="DO40" s="849"/>
      <c r="DP40" s="849"/>
      <c r="DQ40" s="849"/>
      <c r="DR40" s="849"/>
      <c r="DS40" s="849"/>
      <c r="DT40" s="849"/>
      <c r="DU40" s="849"/>
      <c r="DV40" s="849"/>
      <c r="DW40" s="849"/>
      <c r="DX40" s="849"/>
      <c r="DY40" s="849"/>
      <c r="DZ40" s="849"/>
      <c r="EA40" s="849"/>
      <c r="EB40" s="849"/>
      <c r="EC40" s="849"/>
      <c r="ED40" s="849"/>
      <c r="EE40" s="849"/>
      <c r="EF40" s="849"/>
      <c r="EG40" s="849"/>
      <c r="EH40" s="849"/>
      <c r="EI40" s="849"/>
      <c r="EJ40" s="849"/>
      <c r="EK40" s="849"/>
      <c r="EL40" s="849"/>
      <c r="EM40" s="849"/>
      <c r="EN40" s="849"/>
      <c r="EO40" s="849"/>
      <c r="EP40" s="849"/>
      <c r="EQ40" s="849"/>
      <c r="ER40" s="849"/>
      <c r="ES40" s="849"/>
      <c r="ET40" s="849"/>
      <c r="EU40" s="849"/>
      <c r="EV40" s="849"/>
      <c r="EW40" s="849"/>
      <c r="EX40" s="849"/>
      <c r="EY40" s="849"/>
      <c r="EZ40" s="849"/>
      <c r="FA40" s="849"/>
      <c r="FB40" s="849"/>
      <c r="FC40" s="849"/>
      <c r="FD40" s="849"/>
      <c r="FE40" s="849"/>
      <c r="FF40" s="849"/>
      <c r="FG40" s="849"/>
      <c r="FH40" s="849"/>
      <c r="FI40" s="849"/>
      <c r="FJ40" s="849"/>
      <c r="FK40" s="849"/>
      <c r="FL40" s="849"/>
      <c r="FM40" s="849"/>
      <c r="FN40" s="849"/>
      <c r="FO40" s="849"/>
      <c r="FP40" s="849"/>
      <c r="FQ40" s="849"/>
      <c r="FR40" s="849"/>
      <c r="FS40" s="849"/>
      <c r="FT40" s="849"/>
      <c r="FU40" s="849"/>
      <c r="FV40" s="849"/>
      <c r="FW40" s="849"/>
      <c r="FX40" s="849"/>
      <c r="FY40" s="849"/>
      <c r="FZ40" s="849"/>
      <c r="GA40" s="849"/>
      <c r="GB40" s="849"/>
      <c r="GC40" s="849"/>
      <c r="GD40" s="849"/>
      <c r="GE40" s="849"/>
      <c r="GF40" s="849"/>
      <c r="GG40" s="849"/>
      <c r="GH40" s="849"/>
      <c r="GI40" s="849"/>
      <c r="GJ40" s="849"/>
      <c r="GK40" s="849"/>
      <c r="GL40" s="849"/>
      <c r="GM40" s="849"/>
      <c r="GN40" s="849"/>
      <c r="GO40" s="849"/>
      <c r="GP40" s="849"/>
      <c r="GQ40" s="849"/>
      <c r="GR40" s="849"/>
      <c r="GS40" s="849"/>
      <c r="GT40" s="849"/>
      <c r="GU40" s="849"/>
      <c r="GV40" s="849"/>
      <c r="GW40" s="849"/>
      <c r="GX40" s="849"/>
      <c r="GY40" s="849"/>
      <c r="GZ40" s="849"/>
      <c r="HA40" s="849"/>
      <c r="HB40" s="849"/>
      <c r="HC40" s="849"/>
      <c r="HD40" s="849"/>
      <c r="HE40" s="849"/>
      <c r="HF40" s="849"/>
      <c r="HG40" s="849"/>
      <c r="HH40" s="849"/>
      <c r="HI40" s="849"/>
      <c r="HJ40" s="849"/>
      <c r="HK40" s="849"/>
      <c r="HL40" s="849"/>
      <c r="HM40" s="849"/>
      <c r="HN40" s="849"/>
      <c r="HO40" s="849"/>
      <c r="HP40" s="849"/>
      <c r="HQ40" s="849"/>
      <c r="HR40" s="849"/>
      <c r="HS40" s="849"/>
      <c r="HT40" s="849"/>
      <c r="HU40" s="849"/>
      <c r="HV40" s="849"/>
      <c r="HW40" s="849"/>
      <c r="HX40" s="849"/>
      <c r="HY40" s="849"/>
      <c r="HZ40" s="849"/>
      <c r="IA40" s="849"/>
      <c r="IB40" s="849"/>
      <c r="IC40" s="849"/>
      <c r="ID40" s="849"/>
      <c r="IE40" s="849"/>
      <c r="IF40" s="849"/>
      <c r="IG40" s="849"/>
      <c r="IH40" s="849"/>
      <c r="II40" s="849"/>
      <c r="IJ40" s="849"/>
      <c r="IK40" s="849"/>
      <c r="IL40" s="849"/>
      <c r="IM40" s="849"/>
      <c r="IN40" s="849"/>
      <c r="IO40" s="849"/>
      <c r="IP40" s="849"/>
      <c r="IQ40" s="849"/>
      <c r="IR40" s="849"/>
      <c r="IS40" s="849"/>
      <c r="IT40" s="849"/>
    </row>
    <row r="41" spans="1:254" s="723" customFormat="1" ht="26.25" customHeight="1" x14ac:dyDescent="0.2">
      <c r="A41" s="72"/>
      <c r="B41" s="72"/>
      <c r="C41" s="72"/>
      <c r="D41" s="72"/>
      <c r="E41" s="72"/>
      <c r="F41" s="72"/>
      <c r="G41" s="72"/>
      <c r="H41" s="72"/>
      <c r="I41" s="72"/>
      <c r="J41" s="72"/>
      <c r="R41" s="849"/>
      <c r="S41" s="849"/>
      <c r="T41" s="849"/>
      <c r="U41" s="849"/>
      <c r="V41" s="849"/>
      <c r="W41" s="849"/>
      <c r="X41" s="849"/>
      <c r="Y41" s="849"/>
      <c r="Z41" s="849"/>
      <c r="AA41" s="849"/>
      <c r="AB41" s="849"/>
      <c r="AC41" s="849"/>
      <c r="AD41" s="849"/>
      <c r="AE41" s="849"/>
      <c r="AF41" s="849"/>
      <c r="AG41" s="849"/>
      <c r="AH41" s="849"/>
      <c r="AI41" s="849"/>
      <c r="AJ41" s="849"/>
      <c r="AK41" s="849"/>
      <c r="AL41" s="849"/>
      <c r="AM41" s="849"/>
      <c r="AN41" s="849"/>
      <c r="AO41" s="849"/>
      <c r="AP41" s="849"/>
      <c r="AQ41" s="849"/>
      <c r="AR41" s="849"/>
      <c r="AS41" s="849"/>
      <c r="AT41" s="849"/>
      <c r="AU41" s="849"/>
      <c r="AV41" s="849"/>
      <c r="AW41" s="849"/>
      <c r="AX41" s="849"/>
      <c r="AY41" s="849"/>
      <c r="AZ41" s="849"/>
      <c r="BA41" s="849"/>
      <c r="BB41" s="849"/>
      <c r="BC41" s="849"/>
      <c r="BD41" s="849"/>
      <c r="BE41" s="849"/>
      <c r="BF41" s="849"/>
      <c r="BG41" s="849"/>
      <c r="BH41" s="849"/>
      <c r="BI41" s="849"/>
      <c r="BJ41" s="849"/>
      <c r="BK41" s="849"/>
      <c r="BL41" s="849"/>
      <c r="BM41" s="849"/>
      <c r="BN41" s="849"/>
      <c r="BO41" s="849"/>
      <c r="BP41" s="849"/>
      <c r="BQ41" s="849"/>
      <c r="BR41" s="849"/>
      <c r="BS41" s="849"/>
      <c r="BT41" s="849"/>
      <c r="BU41" s="849"/>
      <c r="BV41" s="849"/>
      <c r="BW41" s="849"/>
      <c r="BX41" s="849"/>
      <c r="BY41" s="849"/>
      <c r="BZ41" s="849"/>
      <c r="CA41" s="849"/>
      <c r="CB41" s="849"/>
      <c r="CC41" s="849"/>
      <c r="CD41" s="849"/>
      <c r="CE41" s="849"/>
      <c r="CF41" s="849"/>
      <c r="CG41" s="849"/>
      <c r="CH41" s="849"/>
      <c r="CI41" s="849"/>
      <c r="CJ41" s="849"/>
      <c r="CK41" s="849"/>
      <c r="CL41" s="849"/>
      <c r="CM41" s="849"/>
      <c r="CN41" s="849"/>
      <c r="CO41" s="849"/>
      <c r="CP41" s="849"/>
      <c r="CQ41" s="849"/>
      <c r="CR41" s="849"/>
      <c r="CS41" s="849"/>
      <c r="CT41" s="849"/>
      <c r="CU41" s="849"/>
      <c r="CV41" s="849"/>
      <c r="CW41" s="849"/>
      <c r="CX41" s="849"/>
      <c r="CY41" s="849"/>
      <c r="CZ41" s="849"/>
      <c r="DA41" s="849"/>
      <c r="DB41" s="849"/>
      <c r="DC41" s="849"/>
      <c r="DD41" s="849"/>
      <c r="DE41" s="849"/>
      <c r="DF41" s="849"/>
      <c r="DG41" s="849"/>
      <c r="DH41" s="849"/>
      <c r="DI41" s="849"/>
      <c r="DJ41" s="849"/>
      <c r="DK41" s="849"/>
      <c r="DL41" s="849"/>
      <c r="DM41" s="849"/>
      <c r="DN41" s="849"/>
      <c r="DO41" s="849"/>
      <c r="DP41" s="849"/>
      <c r="DQ41" s="849"/>
      <c r="DR41" s="849"/>
      <c r="DS41" s="849"/>
      <c r="DT41" s="849"/>
      <c r="DU41" s="849"/>
      <c r="DV41" s="849"/>
      <c r="DW41" s="849"/>
      <c r="DX41" s="849"/>
      <c r="DY41" s="849"/>
      <c r="DZ41" s="849"/>
      <c r="EA41" s="849"/>
      <c r="EB41" s="849"/>
      <c r="EC41" s="849"/>
      <c r="ED41" s="849"/>
      <c r="EE41" s="849"/>
      <c r="EF41" s="849"/>
      <c r="EG41" s="849"/>
      <c r="EH41" s="849"/>
      <c r="EI41" s="849"/>
      <c r="EJ41" s="849"/>
      <c r="EK41" s="849"/>
      <c r="EL41" s="849"/>
      <c r="EM41" s="849"/>
      <c r="EN41" s="849"/>
      <c r="EO41" s="849"/>
      <c r="EP41" s="849"/>
      <c r="EQ41" s="849"/>
      <c r="ER41" s="849"/>
      <c r="ES41" s="849"/>
      <c r="ET41" s="849"/>
      <c r="EU41" s="849"/>
      <c r="EV41" s="849"/>
      <c r="EW41" s="849"/>
      <c r="EX41" s="849"/>
      <c r="EY41" s="849"/>
      <c r="EZ41" s="849"/>
      <c r="FA41" s="849"/>
      <c r="FB41" s="849"/>
      <c r="FC41" s="849"/>
      <c r="FD41" s="849"/>
      <c r="FE41" s="849"/>
      <c r="FF41" s="849"/>
      <c r="FG41" s="849"/>
      <c r="FH41" s="849"/>
      <c r="FI41" s="849"/>
      <c r="FJ41" s="849"/>
      <c r="FK41" s="849"/>
      <c r="FL41" s="849"/>
      <c r="FM41" s="849"/>
      <c r="FN41" s="849"/>
      <c r="FO41" s="849"/>
      <c r="FP41" s="849"/>
      <c r="FQ41" s="849"/>
      <c r="FR41" s="849"/>
      <c r="FS41" s="849"/>
      <c r="FT41" s="849"/>
      <c r="FU41" s="849"/>
      <c r="FV41" s="849"/>
      <c r="FW41" s="849"/>
      <c r="FX41" s="849"/>
      <c r="FY41" s="849"/>
      <c r="FZ41" s="849"/>
      <c r="GA41" s="849"/>
      <c r="GB41" s="849"/>
      <c r="GC41" s="849"/>
      <c r="GD41" s="849"/>
      <c r="GE41" s="849"/>
      <c r="GF41" s="849"/>
      <c r="GG41" s="849"/>
      <c r="GH41" s="849"/>
      <c r="GI41" s="849"/>
      <c r="GJ41" s="849"/>
      <c r="GK41" s="849"/>
      <c r="GL41" s="849"/>
      <c r="GM41" s="849"/>
      <c r="GN41" s="849"/>
      <c r="GO41" s="849"/>
      <c r="GP41" s="849"/>
      <c r="GQ41" s="849"/>
      <c r="GR41" s="849"/>
      <c r="GS41" s="849"/>
      <c r="GT41" s="849"/>
      <c r="GU41" s="849"/>
      <c r="GV41" s="849"/>
      <c r="GW41" s="849"/>
      <c r="GX41" s="849"/>
      <c r="GY41" s="849"/>
      <c r="GZ41" s="849"/>
      <c r="HA41" s="849"/>
      <c r="HB41" s="849"/>
      <c r="HC41" s="849"/>
      <c r="HD41" s="849"/>
      <c r="HE41" s="849"/>
      <c r="HF41" s="849"/>
      <c r="HG41" s="849"/>
      <c r="HH41" s="849"/>
      <c r="HI41" s="849"/>
      <c r="HJ41" s="849"/>
      <c r="HK41" s="849"/>
      <c r="HL41" s="849"/>
      <c r="HM41" s="849"/>
      <c r="HN41" s="849"/>
      <c r="HO41" s="849"/>
      <c r="HP41" s="849"/>
      <c r="HQ41" s="849"/>
      <c r="HR41" s="849"/>
      <c r="HS41" s="849"/>
      <c r="HT41" s="849"/>
      <c r="HU41" s="849"/>
      <c r="HV41" s="849"/>
      <c r="HW41" s="849"/>
      <c r="HX41" s="849"/>
      <c r="HY41" s="849"/>
      <c r="HZ41" s="849"/>
      <c r="IA41" s="849"/>
      <c r="IB41" s="849"/>
      <c r="IC41" s="849"/>
      <c r="ID41" s="849"/>
      <c r="IE41" s="849"/>
      <c r="IF41" s="849"/>
      <c r="IG41" s="849"/>
      <c r="IH41" s="849"/>
      <c r="II41" s="849"/>
      <c r="IJ41" s="849"/>
      <c r="IK41" s="849"/>
      <c r="IL41" s="849"/>
      <c r="IM41" s="849"/>
      <c r="IN41" s="849"/>
      <c r="IO41" s="849"/>
      <c r="IP41" s="849"/>
      <c r="IQ41" s="849"/>
      <c r="IR41" s="849"/>
      <c r="IS41" s="849"/>
      <c r="IT41" s="849"/>
    </row>
    <row r="42" spans="1:254" s="848" customFormat="1" ht="18" x14ac:dyDescent="0.25">
      <c r="A42" s="2120" t="s">
        <v>226</v>
      </c>
      <c r="B42" s="2121"/>
      <c r="C42" s="2121"/>
      <c r="D42" s="2121"/>
      <c r="E42" s="2121"/>
      <c r="F42" s="2121"/>
      <c r="G42" s="2121"/>
      <c r="H42" s="2121"/>
      <c r="I42" s="2121"/>
      <c r="J42" s="2121"/>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849"/>
      <c r="AM42" s="849"/>
      <c r="AN42" s="849"/>
      <c r="AO42" s="849"/>
      <c r="AP42" s="849"/>
      <c r="AQ42" s="849"/>
      <c r="AR42" s="849"/>
      <c r="AS42" s="849"/>
      <c r="AT42" s="849"/>
      <c r="AU42" s="849"/>
      <c r="AV42" s="849"/>
      <c r="AW42" s="849"/>
      <c r="AX42" s="849"/>
      <c r="AY42" s="849"/>
      <c r="AZ42" s="849"/>
      <c r="BA42" s="849"/>
      <c r="BB42" s="849"/>
      <c r="BC42" s="849"/>
      <c r="BD42" s="849"/>
      <c r="BE42" s="849"/>
      <c r="BF42" s="849"/>
      <c r="BG42" s="849"/>
      <c r="BH42" s="849"/>
      <c r="BI42" s="849"/>
      <c r="BJ42" s="849"/>
      <c r="BK42" s="849"/>
      <c r="BL42" s="849"/>
      <c r="BM42" s="849"/>
      <c r="BN42" s="849"/>
      <c r="BO42" s="849"/>
      <c r="BP42" s="849"/>
      <c r="BQ42" s="849"/>
      <c r="BR42" s="849"/>
      <c r="BS42" s="849"/>
      <c r="BT42" s="849"/>
      <c r="BU42" s="849"/>
      <c r="BV42" s="849"/>
      <c r="BW42" s="849"/>
      <c r="BX42" s="849"/>
      <c r="BY42" s="849"/>
      <c r="BZ42" s="849"/>
      <c r="CA42" s="849"/>
      <c r="CB42" s="849"/>
      <c r="CC42" s="849"/>
      <c r="CD42" s="849"/>
      <c r="CE42" s="849"/>
      <c r="CF42" s="849"/>
      <c r="CG42" s="849"/>
      <c r="CH42" s="849"/>
      <c r="CI42" s="849"/>
      <c r="CJ42" s="849"/>
      <c r="CK42" s="849"/>
      <c r="CL42" s="849"/>
      <c r="CM42" s="849"/>
      <c r="CN42" s="849"/>
      <c r="CO42" s="849"/>
      <c r="CP42" s="849"/>
      <c r="CQ42" s="849"/>
      <c r="CR42" s="849"/>
      <c r="CS42" s="849"/>
      <c r="CT42" s="849"/>
      <c r="CU42" s="849"/>
      <c r="CV42" s="849"/>
      <c r="CW42" s="849"/>
      <c r="CX42" s="849"/>
      <c r="CY42" s="849"/>
      <c r="CZ42" s="849"/>
      <c r="DA42" s="849"/>
      <c r="DB42" s="849"/>
      <c r="DC42" s="849"/>
      <c r="DD42" s="849"/>
      <c r="DE42" s="849"/>
      <c r="DF42" s="849"/>
      <c r="DG42" s="849"/>
      <c r="DH42" s="849"/>
      <c r="DI42" s="849"/>
      <c r="DJ42" s="849"/>
      <c r="DK42" s="849"/>
      <c r="DL42" s="849"/>
      <c r="DM42" s="849"/>
      <c r="DN42" s="849"/>
      <c r="DO42" s="849"/>
      <c r="DP42" s="849"/>
      <c r="DQ42" s="849"/>
      <c r="DR42" s="849"/>
      <c r="DS42" s="849"/>
      <c r="DT42" s="849"/>
      <c r="DU42" s="849"/>
      <c r="DV42" s="849"/>
      <c r="DW42" s="849"/>
      <c r="DX42" s="849"/>
      <c r="DY42" s="849"/>
      <c r="DZ42" s="849"/>
      <c r="EA42" s="849"/>
      <c r="EB42" s="849"/>
      <c r="EC42" s="849"/>
      <c r="ED42" s="849"/>
      <c r="EE42" s="849"/>
      <c r="EF42" s="849"/>
      <c r="EG42" s="849"/>
      <c r="EH42" s="849"/>
      <c r="EI42" s="849"/>
      <c r="EJ42" s="849"/>
      <c r="EK42" s="849"/>
      <c r="EL42" s="849"/>
      <c r="EM42" s="849"/>
      <c r="EN42" s="849"/>
      <c r="EO42" s="849"/>
      <c r="EP42" s="849"/>
      <c r="EQ42" s="849"/>
      <c r="ER42" s="849"/>
      <c r="ES42" s="849"/>
      <c r="ET42" s="849"/>
      <c r="EU42" s="849"/>
      <c r="EV42" s="849"/>
      <c r="EW42" s="849"/>
      <c r="EX42" s="849"/>
      <c r="EY42" s="849"/>
      <c r="EZ42" s="849"/>
      <c r="FA42" s="849"/>
      <c r="FB42" s="849"/>
      <c r="FC42" s="849"/>
      <c r="FD42" s="849"/>
      <c r="FE42" s="849"/>
      <c r="FF42" s="849"/>
      <c r="FG42" s="849"/>
      <c r="FH42" s="849"/>
      <c r="FI42" s="849"/>
      <c r="FJ42" s="849"/>
      <c r="FK42" s="849"/>
      <c r="FL42" s="849"/>
      <c r="FM42" s="849"/>
      <c r="FN42" s="849"/>
      <c r="FO42" s="849"/>
      <c r="FP42" s="849"/>
      <c r="FQ42" s="849"/>
      <c r="FR42" s="849"/>
      <c r="FS42" s="849"/>
      <c r="FT42" s="849"/>
      <c r="FU42" s="849"/>
      <c r="FV42" s="849"/>
      <c r="FW42" s="849"/>
      <c r="FX42" s="849"/>
      <c r="FY42" s="849"/>
      <c r="FZ42" s="849"/>
      <c r="GA42" s="849"/>
      <c r="GB42" s="849"/>
      <c r="GC42" s="849"/>
      <c r="GD42" s="849"/>
      <c r="GE42" s="849"/>
      <c r="GF42" s="849"/>
      <c r="GG42" s="849"/>
      <c r="GH42" s="849"/>
      <c r="GI42" s="849"/>
      <c r="GJ42" s="849"/>
      <c r="GK42" s="849"/>
      <c r="GL42" s="849"/>
      <c r="GM42" s="849"/>
      <c r="GN42" s="849"/>
      <c r="GO42" s="849"/>
      <c r="GP42" s="849"/>
      <c r="GQ42" s="849"/>
      <c r="GR42" s="849"/>
      <c r="GS42" s="849"/>
      <c r="GT42" s="849"/>
      <c r="GU42" s="849"/>
      <c r="GV42" s="849"/>
      <c r="GW42" s="849"/>
      <c r="GX42" s="849"/>
      <c r="GY42" s="849"/>
      <c r="GZ42" s="849"/>
      <c r="HA42" s="849"/>
      <c r="HB42" s="849"/>
      <c r="HC42" s="849"/>
      <c r="HD42" s="849"/>
      <c r="HE42" s="849"/>
      <c r="HF42" s="849"/>
      <c r="HG42" s="849"/>
      <c r="HH42" s="849"/>
      <c r="HI42" s="849"/>
      <c r="HJ42" s="849"/>
      <c r="HK42" s="849"/>
      <c r="HL42" s="849"/>
      <c r="HM42" s="849"/>
      <c r="HN42" s="849"/>
      <c r="HO42" s="849"/>
      <c r="HP42" s="849"/>
      <c r="HQ42" s="849"/>
      <c r="HR42" s="849"/>
      <c r="HS42" s="849"/>
      <c r="HT42" s="849"/>
      <c r="HU42" s="849"/>
      <c r="HV42" s="849"/>
      <c r="HW42" s="849"/>
      <c r="HX42" s="849"/>
      <c r="HY42" s="849"/>
      <c r="HZ42" s="849"/>
      <c r="IA42" s="849"/>
      <c r="IB42" s="849"/>
      <c r="IC42" s="849"/>
      <c r="ID42" s="849"/>
      <c r="IE42" s="849"/>
      <c r="IF42" s="849"/>
      <c r="IG42" s="849"/>
      <c r="IH42" s="849"/>
      <c r="II42" s="849"/>
      <c r="IJ42" s="849"/>
      <c r="IK42" s="849"/>
      <c r="IL42" s="849"/>
      <c r="IM42" s="849"/>
      <c r="IN42" s="849"/>
      <c r="IO42" s="849"/>
      <c r="IP42" s="849"/>
      <c r="IQ42" s="849"/>
      <c r="IR42" s="849"/>
      <c r="IS42" s="849"/>
      <c r="IT42" s="849"/>
    </row>
    <row r="43" spans="1:254" x14ac:dyDescent="0.2">
      <c r="A43" s="72"/>
      <c r="B43" s="72"/>
      <c r="C43" s="72"/>
      <c r="D43" s="72"/>
      <c r="E43" s="72"/>
      <c r="F43" s="72"/>
      <c r="G43" s="72"/>
      <c r="H43" s="72"/>
      <c r="I43" s="72"/>
      <c r="J43" s="72"/>
      <c r="R43" s="849"/>
      <c r="S43" s="849"/>
      <c r="T43" s="849"/>
      <c r="U43" s="849"/>
      <c r="V43" s="849"/>
      <c r="W43" s="849"/>
      <c r="X43" s="849"/>
      <c r="Y43" s="849"/>
      <c r="Z43" s="849"/>
      <c r="AA43" s="849"/>
      <c r="AB43" s="849"/>
      <c r="AC43" s="849"/>
      <c r="AD43" s="849"/>
      <c r="AE43" s="849"/>
      <c r="AF43" s="849"/>
      <c r="AG43" s="849"/>
      <c r="AH43" s="849"/>
      <c r="AI43" s="849"/>
      <c r="AJ43" s="849"/>
      <c r="AK43" s="849"/>
      <c r="AL43" s="849"/>
      <c r="AM43" s="849"/>
      <c r="AN43" s="849"/>
      <c r="AO43" s="849"/>
      <c r="AP43" s="849"/>
      <c r="AQ43" s="849"/>
      <c r="AR43" s="849"/>
      <c r="AS43" s="849"/>
      <c r="AT43" s="849"/>
      <c r="AU43" s="849"/>
      <c r="AV43" s="849"/>
      <c r="AW43" s="849"/>
      <c r="AX43" s="849"/>
      <c r="AY43" s="849"/>
      <c r="AZ43" s="849"/>
      <c r="BA43" s="849"/>
      <c r="BB43" s="849"/>
      <c r="BC43" s="849"/>
      <c r="BD43" s="849"/>
      <c r="BE43" s="849"/>
      <c r="BF43" s="849"/>
      <c r="BG43" s="849"/>
      <c r="BH43" s="849"/>
      <c r="BI43" s="849"/>
      <c r="BJ43" s="849"/>
      <c r="BK43" s="849"/>
      <c r="BL43" s="849"/>
      <c r="BM43" s="849"/>
      <c r="BN43" s="849"/>
      <c r="BO43" s="849"/>
      <c r="BP43" s="849"/>
      <c r="BQ43" s="849"/>
      <c r="BR43" s="849"/>
      <c r="BS43" s="849"/>
      <c r="BT43" s="849"/>
      <c r="BU43" s="849"/>
      <c r="BV43" s="849"/>
      <c r="BW43" s="849"/>
      <c r="BX43" s="849"/>
      <c r="BY43" s="849"/>
      <c r="BZ43" s="849"/>
      <c r="CA43" s="849"/>
      <c r="CB43" s="849"/>
      <c r="CC43" s="849"/>
      <c r="CD43" s="849"/>
      <c r="CE43" s="849"/>
      <c r="CF43" s="849"/>
      <c r="CG43" s="849"/>
      <c r="CH43" s="849"/>
      <c r="CI43" s="849"/>
      <c r="CJ43" s="849"/>
      <c r="CK43" s="849"/>
      <c r="CL43" s="849"/>
      <c r="CM43" s="849"/>
      <c r="CN43" s="849"/>
      <c r="CO43" s="849"/>
      <c r="CP43" s="849"/>
      <c r="CQ43" s="849"/>
      <c r="CR43" s="849"/>
      <c r="CS43" s="849"/>
      <c r="CT43" s="849"/>
      <c r="CU43" s="849"/>
      <c r="CV43" s="849"/>
      <c r="CW43" s="849"/>
      <c r="CX43" s="849"/>
      <c r="CY43" s="849"/>
      <c r="CZ43" s="849"/>
      <c r="DA43" s="849"/>
      <c r="DB43" s="849"/>
      <c r="DC43" s="849"/>
      <c r="DD43" s="849"/>
      <c r="DE43" s="849"/>
      <c r="DF43" s="849"/>
      <c r="DG43" s="849"/>
      <c r="DH43" s="849"/>
      <c r="DI43" s="849"/>
      <c r="DJ43" s="849"/>
      <c r="DK43" s="849"/>
      <c r="DL43" s="849"/>
      <c r="DM43" s="849"/>
      <c r="DN43" s="849"/>
      <c r="DO43" s="849"/>
      <c r="DP43" s="849"/>
      <c r="DQ43" s="849"/>
      <c r="DR43" s="849"/>
      <c r="DS43" s="849"/>
      <c r="DT43" s="849"/>
      <c r="DU43" s="849"/>
      <c r="DV43" s="849"/>
      <c r="DW43" s="849"/>
      <c r="DX43" s="849"/>
      <c r="DY43" s="849"/>
      <c r="DZ43" s="849"/>
      <c r="EA43" s="849"/>
      <c r="EB43" s="849"/>
      <c r="EC43" s="849"/>
      <c r="ED43" s="849"/>
      <c r="EE43" s="849"/>
      <c r="EF43" s="849"/>
      <c r="EG43" s="849"/>
      <c r="EH43" s="849"/>
      <c r="EI43" s="849"/>
      <c r="EJ43" s="849"/>
      <c r="EK43" s="849"/>
      <c r="EL43" s="849"/>
      <c r="EM43" s="849"/>
      <c r="EN43" s="849"/>
      <c r="EO43" s="849"/>
      <c r="EP43" s="849"/>
      <c r="EQ43" s="849"/>
      <c r="ER43" s="849"/>
      <c r="ES43" s="849"/>
      <c r="ET43" s="849"/>
      <c r="EU43" s="849"/>
      <c r="EV43" s="849"/>
      <c r="EW43" s="849"/>
      <c r="EX43" s="849"/>
      <c r="EY43" s="849"/>
      <c r="EZ43" s="849"/>
      <c r="FA43" s="849"/>
      <c r="FB43" s="849"/>
      <c r="FC43" s="849"/>
      <c r="FD43" s="849"/>
      <c r="FE43" s="849"/>
      <c r="FF43" s="849"/>
      <c r="FG43" s="849"/>
      <c r="FH43" s="849"/>
      <c r="FI43" s="849"/>
      <c r="FJ43" s="849"/>
      <c r="FK43" s="849"/>
      <c r="FL43" s="849"/>
      <c r="FM43" s="849"/>
      <c r="FN43" s="849"/>
      <c r="FO43" s="849"/>
      <c r="FP43" s="849"/>
      <c r="FQ43" s="849"/>
      <c r="FR43" s="849"/>
      <c r="FS43" s="849"/>
      <c r="FT43" s="849"/>
      <c r="FU43" s="849"/>
      <c r="FV43" s="849"/>
      <c r="FW43" s="849"/>
      <c r="FX43" s="849"/>
      <c r="FY43" s="849"/>
      <c r="FZ43" s="849"/>
      <c r="GA43" s="849"/>
      <c r="GB43" s="849"/>
      <c r="GC43" s="849"/>
      <c r="GD43" s="849"/>
      <c r="GE43" s="849"/>
      <c r="GF43" s="849"/>
      <c r="GG43" s="849"/>
      <c r="GH43" s="849"/>
      <c r="GI43" s="849"/>
      <c r="GJ43" s="849"/>
      <c r="GK43" s="849"/>
      <c r="GL43" s="849"/>
      <c r="GM43" s="849"/>
      <c r="GN43" s="849"/>
      <c r="GO43" s="849"/>
      <c r="GP43" s="849"/>
      <c r="GQ43" s="849"/>
      <c r="GR43" s="849"/>
      <c r="GS43" s="849"/>
      <c r="GT43" s="849"/>
      <c r="GU43" s="849"/>
      <c r="GV43" s="849"/>
      <c r="GW43" s="849"/>
      <c r="GX43" s="849"/>
      <c r="GY43" s="849"/>
      <c r="GZ43" s="849"/>
      <c r="HA43" s="849"/>
      <c r="HB43" s="849"/>
      <c r="HC43" s="849"/>
      <c r="HD43" s="849"/>
      <c r="HE43" s="849"/>
      <c r="HF43" s="849"/>
      <c r="HG43" s="849"/>
      <c r="HH43" s="849"/>
      <c r="HI43" s="849"/>
      <c r="HJ43" s="849"/>
      <c r="HK43" s="849"/>
      <c r="HL43" s="849"/>
      <c r="HM43" s="849"/>
      <c r="HN43" s="849"/>
      <c r="HO43" s="849"/>
      <c r="HP43" s="849"/>
      <c r="HQ43" s="849"/>
      <c r="HR43" s="849"/>
      <c r="HS43" s="849"/>
      <c r="HT43" s="849"/>
      <c r="HU43" s="849"/>
      <c r="HV43" s="849"/>
      <c r="HW43" s="849"/>
      <c r="HX43" s="849"/>
      <c r="HY43" s="849"/>
      <c r="HZ43" s="849"/>
      <c r="IA43" s="849"/>
      <c r="IB43" s="849"/>
      <c r="IC43" s="849"/>
      <c r="ID43" s="849"/>
      <c r="IE43" s="849"/>
      <c r="IF43" s="849"/>
      <c r="IG43" s="849"/>
      <c r="IH43" s="849"/>
      <c r="II43" s="849"/>
      <c r="IJ43" s="849"/>
      <c r="IK43" s="849"/>
      <c r="IL43" s="849"/>
      <c r="IM43" s="849"/>
      <c r="IN43" s="849"/>
      <c r="IO43" s="849"/>
      <c r="IP43" s="849"/>
      <c r="IQ43" s="849"/>
      <c r="IR43" s="849"/>
      <c r="IS43" s="849"/>
      <c r="IT43" s="849"/>
    </row>
    <row r="44" spans="1:254" s="848" customFormat="1" ht="13.5" customHeight="1" x14ac:dyDescent="0.25">
      <c r="A44" s="850" t="s">
        <v>174</v>
      </c>
      <c r="B44" s="77"/>
      <c r="C44" s="77"/>
      <c r="D44" s="77"/>
      <c r="E44" s="77"/>
      <c r="F44" s="77"/>
      <c r="G44" s="77"/>
      <c r="H44" s="77"/>
      <c r="I44" s="77"/>
      <c r="J44" s="77"/>
      <c r="K44" s="849"/>
      <c r="L44" s="849"/>
      <c r="M44" s="849"/>
      <c r="N44" s="849"/>
      <c r="O44" s="849"/>
      <c r="P44" s="849"/>
      <c r="Q44" s="849"/>
      <c r="R44" s="849"/>
      <c r="S44" s="849"/>
      <c r="T44" s="849"/>
      <c r="U44" s="849"/>
      <c r="V44" s="849"/>
      <c r="W44" s="849"/>
      <c r="X44" s="849"/>
      <c r="Y44" s="849"/>
      <c r="Z44" s="849"/>
      <c r="AA44" s="849"/>
      <c r="AB44" s="849"/>
      <c r="AC44" s="849"/>
      <c r="AD44" s="849"/>
      <c r="AE44" s="849"/>
      <c r="AF44" s="849"/>
      <c r="AG44" s="849"/>
      <c r="AH44" s="849"/>
      <c r="AI44" s="849"/>
      <c r="AJ44" s="849"/>
      <c r="AK44" s="849"/>
      <c r="AL44" s="849"/>
      <c r="AM44" s="849"/>
      <c r="AN44" s="849"/>
      <c r="AO44" s="849"/>
      <c r="AP44" s="849"/>
      <c r="AQ44" s="849"/>
      <c r="AR44" s="849"/>
      <c r="AS44" s="849"/>
      <c r="AT44" s="849"/>
      <c r="AU44" s="849"/>
      <c r="AV44" s="849"/>
      <c r="AW44" s="849"/>
      <c r="AX44" s="849"/>
      <c r="AY44" s="849"/>
      <c r="AZ44" s="849"/>
      <c r="BA44" s="849"/>
      <c r="BB44" s="849"/>
      <c r="BC44" s="849"/>
      <c r="BD44" s="849"/>
      <c r="BE44" s="849"/>
      <c r="BF44" s="849"/>
      <c r="BG44" s="849"/>
      <c r="BH44" s="849"/>
      <c r="BI44" s="849"/>
      <c r="BJ44" s="849"/>
      <c r="BK44" s="849"/>
      <c r="BL44" s="849"/>
      <c r="BM44" s="849"/>
      <c r="BN44" s="849"/>
      <c r="BO44" s="849"/>
      <c r="BP44" s="849"/>
      <c r="BQ44" s="849"/>
      <c r="BR44" s="849"/>
      <c r="BS44" s="849"/>
      <c r="BT44" s="849"/>
      <c r="BU44" s="849"/>
      <c r="BV44" s="849"/>
      <c r="BW44" s="849"/>
      <c r="BX44" s="849"/>
      <c r="BY44" s="849"/>
      <c r="BZ44" s="849"/>
      <c r="CA44" s="849"/>
      <c r="CB44" s="849"/>
      <c r="CC44" s="849"/>
      <c r="CD44" s="849"/>
      <c r="CE44" s="849"/>
      <c r="CF44" s="849"/>
      <c r="CG44" s="849"/>
      <c r="CH44" s="849"/>
      <c r="CI44" s="849"/>
      <c r="CJ44" s="849"/>
      <c r="CK44" s="849"/>
      <c r="CL44" s="849"/>
      <c r="CM44" s="849"/>
      <c r="CN44" s="849"/>
      <c r="CO44" s="849"/>
      <c r="CP44" s="849"/>
      <c r="CQ44" s="849"/>
      <c r="CR44" s="849"/>
      <c r="CS44" s="849"/>
      <c r="CT44" s="849"/>
      <c r="CU44" s="849"/>
      <c r="CV44" s="849"/>
      <c r="CW44" s="849"/>
      <c r="CX44" s="849"/>
      <c r="CY44" s="849"/>
      <c r="CZ44" s="849"/>
      <c r="DA44" s="849"/>
      <c r="DB44" s="849"/>
      <c r="DC44" s="849"/>
      <c r="DD44" s="849"/>
      <c r="DE44" s="849"/>
      <c r="DF44" s="849"/>
      <c r="DG44" s="849"/>
      <c r="DH44" s="849"/>
      <c r="DI44" s="849"/>
      <c r="DJ44" s="849"/>
      <c r="DK44" s="849"/>
      <c r="DL44" s="849"/>
      <c r="DM44" s="849"/>
      <c r="DN44" s="849"/>
      <c r="DO44" s="849"/>
      <c r="DP44" s="849"/>
      <c r="DQ44" s="849"/>
      <c r="DR44" s="849"/>
      <c r="DS44" s="849"/>
      <c r="DT44" s="849"/>
      <c r="DU44" s="849"/>
      <c r="DV44" s="849"/>
      <c r="DW44" s="849"/>
      <c r="DX44" s="849"/>
      <c r="DY44" s="849"/>
      <c r="DZ44" s="849"/>
      <c r="EA44" s="849"/>
      <c r="EB44" s="849"/>
      <c r="EC44" s="849"/>
      <c r="ED44" s="849"/>
      <c r="EE44" s="849"/>
      <c r="EF44" s="849"/>
      <c r="EG44" s="849"/>
      <c r="EH44" s="849"/>
      <c r="EI44" s="849"/>
      <c r="EJ44" s="849"/>
      <c r="EK44" s="849"/>
      <c r="EL44" s="849"/>
      <c r="EM44" s="849"/>
      <c r="EN44" s="849"/>
      <c r="EO44" s="849"/>
      <c r="EP44" s="849"/>
      <c r="EQ44" s="849"/>
      <c r="ER44" s="849"/>
      <c r="ES44" s="849"/>
      <c r="ET44" s="849"/>
      <c r="EU44" s="849"/>
      <c r="EV44" s="849"/>
      <c r="EW44" s="849"/>
      <c r="EX44" s="849"/>
      <c r="EY44" s="849"/>
      <c r="EZ44" s="849"/>
      <c r="FA44" s="849"/>
      <c r="FB44" s="849"/>
      <c r="FC44" s="849"/>
      <c r="FD44" s="849"/>
      <c r="FE44" s="849"/>
      <c r="FF44" s="849"/>
      <c r="FG44" s="849"/>
      <c r="FH44" s="849"/>
      <c r="FI44" s="849"/>
      <c r="FJ44" s="849"/>
      <c r="FK44" s="849"/>
      <c r="FL44" s="849"/>
      <c r="FM44" s="849"/>
      <c r="FN44" s="849"/>
      <c r="FO44" s="849"/>
      <c r="FP44" s="849"/>
      <c r="FQ44" s="849"/>
      <c r="FR44" s="849"/>
      <c r="FS44" s="849"/>
      <c r="FT44" s="849"/>
      <c r="FU44" s="849"/>
      <c r="FV44" s="849"/>
      <c r="FW44" s="849"/>
      <c r="FX44" s="849"/>
      <c r="FY44" s="849"/>
      <c r="FZ44" s="849"/>
      <c r="GA44" s="849"/>
      <c r="GB44" s="849"/>
      <c r="GC44" s="849"/>
      <c r="GD44" s="849"/>
      <c r="GE44" s="849"/>
      <c r="GF44" s="849"/>
      <c r="GG44" s="849"/>
      <c r="GH44" s="849"/>
      <c r="GI44" s="849"/>
      <c r="GJ44" s="849"/>
      <c r="GK44" s="849"/>
      <c r="GL44" s="849"/>
      <c r="GM44" s="849"/>
      <c r="GN44" s="849"/>
      <c r="GO44" s="849"/>
      <c r="GP44" s="849"/>
      <c r="GQ44" s="849"/>
      <c r="GR44" s="849"/>
      <c r="GS44" s="849"/>
      <c r="GT44" s="849"/>
      <c r="GU44" s="849"/>
      <c r="GV44" s="849"/>
      <c r="GW44" s="849"/>
      <c r="GX44" s="849"/>
      <c r="GY44" s="849"/>
      <c r="GZ44" s="849"/>
      <c r="HA44" s="849"/>
      <c r="HB44" s="849"/>
      <c r="HC44" s="849"/>
      <c r="HD44" s="849"/>
      <c r="HE44" s="849"/>
      <c r="HF44" s="849"/>
      <c r="HG44" s="849"/>
      <c r="HH44" s="849"/>
      <c r="HI44" s="849"/>
      <c r="HJ44" s="849"/>
      <c r="HK44" s="849"/>
      <c r="HL44" s="849"/>
      <c r="HM44" s="849"/>
      <c r="HN44" s="849"/>
      <c r="HO44" s="849"/>
      <c r="HP44" s="849"/>
      <c r="HQ44" s="849"/>
      <c r="HR44" s="849"/>
      <c r="HS44" s="849"/>
      <c r="HT44" s="849"/>
      <c r="HU44" s="849"/>
      <c r="HV44" s="849"/>
      <c r="HW44" s="849"/>
      <c r="HX44" s="849"/>
      <c r="HY44" s="849"/>
      <c r="HZ44" s="849"/>
      <c r="IA44" s="849"/>
      <c r="IB44" s="849"/>
      <c r="IC44" s="849"/>
      <c r="ID44" s="849"/>
      <c r="IE44" s="849"/>
      <c r="IF44" s="849"/>
      <c r="IG44" s="849"/>
      <c r="IH44" s="849"/>
      <c r="II44" s="849"/>
      <c r="IJ44" s="849"/>
      <c r="IK44" s="849"/>
      <c r="IL44" s="849"/>
      <c r="IM44" s="849"/>
      <c r="IN44" s="849"/>
      <c r="IO44" s="849"/>
      <c r="IP44" s="849"/>
      <c r="IQ44" s="849"/>
      <c r="IR44" s="849"/>
      <c r="IS44" s="849"/>
      <c r="IT44" s="849"/>
    </row>
    <row r="45" spans="1:254" s="848" customFormat="1" ht="80.25" customHeight="1" x14ac:dyDescent="0.2">
      <c r="A45" s="2472"/>
      <c r="B45" s="2473"/>
      <c r="C45" s="2473"/>
      <c r="D45" s="2473"/>
      <c r="E45" s="2473"/>
      <c r="F45" s="2473"/>
      <c r="G45" s="2473"/>
      <c r="H45" s="2473"/>
      <c r="I45" s="2473"/>
      <c r="J45" s="2474"/>
      <c r="K45" s="849"/>
      <c r="L45" s="849"/>
      <c r="M45" s="849"/>
      <c r="N45" s="849"/>
      <c r="O45" s="849"/>
      <c r="P45" s="849"/>
      <c r="Q45" s="849"/>
      <c r="R45" s="849"/>
      <c r="S45" s="849"/>
      <c r="T45" s="849"/>
      <c r="U45" s="849"/>
      <c r="V45" s="849"/>
      <c r="W45" s="849"/>
      <c r="X45" s="849"/>
      <c r="Y45" s="849"/>
      <c r="Z45" s="849"/>
      <c r="AA45" s="849"/>
      <c r="AB45" s="849"/>
      <c r="AC45" s="849"/>
      <c r="AD45" s="849"/>
      <c r="AE45" s="849"/>
      <c r="AF45" s="849"/>
      <c r="AG45" s="849"/>
      <c r="AH45" s="849"/>
      <c r="AI45" s="849"/>
      <c r="AJ45" s="849"/>
      <c r="AK45" s="849"/>
      <c r="AL45" s="849"/>
      <c r="AM45" s="849"/>
      <c r="AN45" s="849"/>
      <c r="AO45" s="849"/>
      <c r="AP45" s="849"/>
      <c r="AQ45" s="849"/>
      <c r="AR45" s="849"/>
      <c r="AS45" s="849"/>
      <c r="AT45" s="849"/>
      <c r="AU45" s="849"/>
      <c r="AV45" s="849"/>
      <c r="AW45" s="849"/>
      <c r="AX45" s="849"/>
      <c r="AY45" s="849"/>
      <c r="AZ45" s="849"/>
      <c r="BA45" s="849"/>
      <c r="BB45" s="849"/>
      <c r="BC45" s="849"/>
      <c r="BD45" s="849"/>
      <c r="BE45" s="849"/>
      <c r="BF45" s="849"/>
      <c r="BG45" s="849"/>
      <c r="BH45" s="849"/>
      <c r="BI45" s="849"/>
      <c r="BJ45" s="849"/>
      <c r="BK45" s="849"/>
      <c r="BL45" s="849"/>
      <c r="BM45" s="849"/>
      <c r="BN45" s="849"/>
      <c r="BO45" s="849"/>
      <c r="BP45" s="849"/>
      <c r="BQ45" s="849"/>
      <c r="BR45" s="849"/>
      <c r="BS45" s="849"/>
      <c r="BT45" s="849"/>
      <c r="BU45" s="849"/>
      <c r="BV45" s="849"/>
      <c r="BW45" s="849"/>
      <c r="BX45" s="849"/>
      <c r="BY45" s="849"/>
      <c r="BZ45" s="849"/>
      <c r="CA45" s="849"/>
      <c r="CB45" s="849"/>
      <c r="CC45" s="849"/>
      <c r="CD45" s="849"/>
      <c r="CE45" s="849"/>
      <c r="CF45" s="849"/>
      <c r="CG45" s="849"/>
      <c r="CH45" s="849"/>
      <c r="CI45" s="849"/>
      <c r="CJ45" s="849"/>
      <c r="CK45" s="849"/>
      <c r="CL45" s="849"/>
      <c r="CM45" s="849"/>
      <c r="CN45" s="849"/>
      <c r="CO45" s="849"/>
      <c r="CP45" s="849"/>
      <c r="CQ45" s="849"/>
      <c r="CR45" s="849"/>
      <c r="CS45" s="849"/>
      <c r="CT45" s="849"/>
      <c r="CU45" s="849"/>
      <c r="CV45" s="849"/>
      <c r="CW45" s="849"/>
      <c r="CX45" s="849"/>
      <c r="CY45" s="849"/>
      <c r="CZ45" s="849"/>
      <c r="DA45" s="849"/>
      <c r="DB45" s="849"/>
      <c r="DC45" s="849"/>
      <c r="DD45" s="849"/>
      <c r="DE45" s="849"/>
      <c r="DF45" s="849"/>
      <c r="DG45" s="849"/>
      <c r="DH45" s="849"/>
      <c r="DI45" s="849"/>
      <c r="DJ45" s="849"/>
      <c r="DK45" s="849"/>
      <c r="DL45" s="849"/>
      <c r="DM45" s="849"/>
      <c r="DN45" s="849"/>
      <c r="DO45" s="849"/>
      <c r="DP45" s="849"/>
      <c r="DQ45" s="849"/>
      <c r="DR45" s="849"/>
      <c r="DS45" s="849"/>
      <c r="DT45" s="849"/>
      <c r="DU45" s="849"/>
      <c r="DV45" s="849"/>
      <c r="DW45" s="849"/>
      <c r="DX45" s="849"/>
      <c r="DY45" s="849"/>
      <c r="DZ45" s="849"/>
      <c r="EA45" s="849"/>
      <c r="EB45" s="849"/>
      <c r="EC45" s="849"/>
      <c r="ED45" s="849"/>
      <c r="EE45" s="849"/>
      <c r="EF45" s="849"/>
      <c r="EG45" s="849"/>
      <c r="EH45" s="849"/>
      <c r="EI45" s="849"/>
      <c r="EJ45" s="849"/>
      <c r="EK45" s="849"/>
      <c r="EL45" s="849"/>
      <c r="EM45" s="849"/>
      <c r="EN45" s="849"/>
      <c r="EO45" s="849"/>
      <c r="EP45" s="849"/>
      <c r="EQ45" s="849"/>
      <c r="ER45" s="849"/>
      <c r="ES45" s="849"/>
      <c r="ET45" s="849"/>
      <c r="EU45" s="849"/>
      <c r="EV45" s="849"/>
      <c r="EW45" s="849"/>
      <c r="EX45" s="849"/>
      <c r="EY45" s="849"/>
      <c r="EZ45" s="849"/>
      <c r="FA45" s="849"/>
      <c r="FB45" s="849"/>
      <c r="FC45" s="849"/>
      <c r="FD45" s="849"/>
      <c r="FE45" s="849"/>
      <c r="FF45" s="849"/>
      <c r="FG45" s="849"/>
      <c r="FH45" s="849"/>
      <c r="FI45" s="849"/>
      <c r="FJ45" s="849"/>
      <c r="FK45" s="849"/>
      <c r="FL45" s="849"/>
      <c r="FM45" s="849"/>
      <c r="FN45" s="849"/>
      <c r="FO45" s="849"/>
      <c r="FP45" s="849"/>
      <c r="FQ45" s="849"/>
      <c r="FR45" s="849"/>
      <c r="FS45" s="849"/>
      <c r="FT45" s="849"/>
      <c r="FU45" s="849"/>
      <c r="FV45" s="849"/>
      <c r="FW45" s="849"/>
      <c r="FX45" s="849"/>
      <c r="FY45" s="849"/>
      <c r="FZ45" s="849"/>
      <c r="GA45" s="849"/>
      <c r="GB45" s="849"/>
      <c r="GC45" s="849"/>
      <c r="GD45" s="849"/>
      <c r="GE45" s="849"/>
      <c r="GF45" s="849"/>
      <c r="GG45" s="849"/>
      <c r="GH45" s="849"/>
      <c r="GI45" s="849"/>
      <c r="GJ45" s="849"/>
      <c r="GK45" s="849"/>
      <c r="GL45" s="849"/>
      <c r="GM45" s="849"/>
      <c r="GN45" s="849"/>
      <c r="GO45" s="849"/>
      <c r="GP45" s="849"/>
      <c r="GQ45" s="849"/>
      <c r="GR45" s="849"/>
      <c r="GS45" s="849"/>
      <c r="GT45" s="849"/>
      <c r="GU45" s="849"/>
      <c r="GV45" s="849"/>
      <c r="GW45" s="849"/>
      <c r="GX45" s="849"/>
      <c r="GY45" s="849"/>
      <c r="GZ45" s="849"/>
      <c r="HA45" s="849"/>
      <c r="HB45" s="849"/>
      <c r="HC45" s="849"/>
      <c r="HD45" s="849"/>
      <c r="HE45" s="849"/>
      <c r="HF45" s="849"/>
      <c r="HG45" s="849"/>
      <c r="HH45" s="849"/>
      <c r="HI45" s="849"/>
      <c r="HJ45" s="849"/>
      <c r="HK45" s="849"/>
      <c r="HL45" s="849"/>
      <c r="HM45" s="849"/>
      <c r="HN45" s="849"/>
      <c r="HO45" s="849"/>
      <c r="HP45" s="849"/>
      <c r="HQ45" s="849"/>
      <c r="HR45" s="849"/>
      <c r="HS45" s="849"/>
      <c r="HT45" s="849"/>
      <c r="HU45" s="849"/>
      <c r="HV45" s="849"/>
      <c r="HW45" s="849"/>
      <c r="HX45" s="849"/>
      <c r="HY45" s="849"/>
      <c r="HZ45" s="849"/>
      <c r="IA45" s="849"/>
      <c r="IB45" s="849"/>
      <c r="IC45" s="849"/>
      <c r="ID45" s="849"/>
      <c r="IE45" s="849"/>
      <c r="IF45" s="849"/>
      <c r="IG45" s="849"/>
      <c r="IH45" s="849"/>
      <c r="II45" s="849"/>
      <c r="IJ45" s="849"/>
      <c r="IK45" s="849"/>
      <c r="IL45" s="849"/>
      <c r="IM45" s="849"/>
      <c r="IN45" s="849"/>
      <c r="IO45" s="849"/>
      <c r="IP45" s="849"/>
      <c r="IQ45" s="849"/>
      <c r="IR45" s="849"/>
      <c r="IS45" s="849"/>
      <c r="IT45" s="849"/>
    </row>
    <row r="46" spans="1:254" s="844" customFormat="1" ht="47.25" customHeight="1" x14ac:dyDescent="0.2">
      <c r="A46" s="847" t="s">
        <v>493</v>
      </c>
      <c r="B46" s="847"/>
      <c r="C46" s="847"/>
      <c r="D46" s="2469"/>
      <c r="E46" s="2469"/>
      <c r="F46" s="2469"/>
      <c r="G46" s="846"/>
      <c r="H46" s="846"/>
      <c r="I46" s="846"/>
      <c r="J46" s="845"/>
    </row>
    <row r="47" spans="1:254" s="844" customFormat="1" ht="27" customHeight="1" x14ac:dyDescent="0.2">
      <c r="A47" s="847" t="s">
        <v>494</v>
      </c>
      <c r="B47" s="847"/>
      <c r="C47" s="847"/>
      <c r="D47" s="2471"/>
      <c r="E47" s="2471"/>
      <c r="F47" s="2471"/>
      <c r="G47" s="846"/>
      <c r="H47" s="846"/>
      <c r="I47" s="846"/>
      <c r="J47" s="845"/>
    </row>
    <row r="48" spans="1:254" s="844" customFormat="1" ht="27" customHeight="1" x14ac:dyDescent="0.2">
      <c r="A48" s="847" t="s">
        <v>495</v>
      </c>
      <c r="B48" s="847"/>
      <c r="C48" s="847"/>
      <c r="D48" s="2471"/>
      <c r="E48" s="2471"/>
      <c r="F48" s="2471"/>
      <c r="G48" s="846"/>
      <c r="H48" s="846"/>
      <c r="I48" s="846"/>
      <c r="J48" s="845"/>
    </row>
    <row r="49" spans="1:254" s="844" customFormat="1" ht="27" customHeight="1" x14ac:dyDescent="0.2">
      <c r="A49" s="847" t="s">
        <v>496</v>
      </c>
      <c r="B49" s="847"/>
      <c r="C49" s="847"/>
      <c r="D49" s="2469"/>
      <c r="E49" s="2469"/>
      <c r="F49" s="2469"/>
      <c r="G49" s="846"/>
      <c r="H49" s="846"/>
      <c r="I49" s="846"/>
      <c r="J49" s="845"/>
    </row>
    <row r="50" spans="1:254" s="723" customFormat="1" x14ac:dyDescent="0.2">
      <c r="W50" s="692"/>
      <c r="X50" s="692"/>
      <c r="Y50" s="692"/>
      <c r="Z50" s="692"/>
      <c r="AA50" s="692"/>
      <c r="AB50" s="692"/>
      <c r="AC50" s="692"/>
      <c r="AD50" s="692"/>
      <c r="AE50" s="692"/>
      <c r="AF50" s="692"/>
      <c r="AG50" s="692"/>
      <c r="AH50" s="692"/>
      <c r="AI50" s="692"/>
      <c r="AJ50" s="692"/>
      <c r="AK50" s="692"/>
      <c r="AL50" s="692"/>
      <c r="AM50" s="692"/>
      <c r="AN50" s="692"/>
      <c r="AO50" s="692"/>
      <c r="AP50" s="692"/>
      <c r="AQ50" s="692"/>
      <c r="AR50" s="692"/>
      <c r="AS50" s="692"/>
      <c r="AT50" s="692"/>
      <c r="AU50" s="692"/>
      <c r="AV50" s="692"/>
      <c r="AW50" s="692"/>
      <c r="AX50" s="692"/>
      <c r="AY50" s="692"/>
      <c r="AZ50" s="692"/>
      <c r="BA50" s="692"/>
      <c r="BB50" s="692"/>
      <c r="BC50" s="692"/>
      <c r="BD50" s="692"/>
      <c r="BE50" s="692"/>
      <c r="BF50" s="692"/>
      <c r="BG50" s="692"/>
      <c r="BH50" s="692"/>
      <c r="BI50" s="692"/>
      <c r="BJ50" s="692"/>
      <c r="BK50" s="692"/>
      <c r="BL50" s="692"/>
      <c r="BM50" s="692"/>
      <c r="BN50" s="692"/>
      <c r="BO50" s="692"/>
      <c r="BP50" s="692"/>
      <c r="BQ50" s="692"/>
      <c r="BR50" s="692"/>
      <c r="BS50" s="692"/>
      <c r="BT50" s="692"/>
      <c r="BU50" s="692"/>
      <c r="BV50" s="692"/>
      <c r="BW50" s="692"/>
      <c r="BX50" s="692"/>
      <c r="BY50" s="692"/>
      <c r="BZ50" s="692"/>
      <c r="CA50" s="692"/>
      <c r="CB50" s="692"/>
      <c r="CC50" s="692"/>
      <c r="CD50" s="692"/>
      <c r="CE50" s="692"/>
      <c r="CF50" s="692"/>
      <c r="CG50" s="692"/>
      <c r="CH50" s="692"/>
      <c r="CI50" s="692"/>
      <c r="CJ50" s="692"/>
      <c r="CK50" s="692"/>
      <c r="CL50" s="692"/>
      <c r="CM50" s="692"/>
      <c r="CN50" s="692"/>
      <c r="CO50" s="692"/>
      <c r="CP50" s="692"/>
      <c r="CQ50" s="692"/>
      <c r="CR50" s="692"/>
      <c r="CS50" s="692"/>
      <c r="CT50" s="692"/>
      <c r="CU50" s="692"/>
      <c r="CV50" s="692"/>
      <c r="CW50" s="692"/>
      <c r="CX50" s="692"/>
      <c r="CY50" s="692"/>
      <c r="CZ50" s="692"/>
      <c r="DA50" s="692"/>
      <c r="DB50" s="692"/>
      <c r="DC50" s="692"/>
      <c r="DD50" s="692"/>
      <c r="DE50" s="692"/>
      <c r="DF50" s="692"/>
      <c r="DG50" s="692"/>
      <c r="DH50" s="692"/>
      <c r="DI50" s="692"/>
      <c r="DJ50" s="692"/>
      <c r="DK50" s="692"/>
      <c r="DL50" s="692"/>
      <c r="DM50" s="692"/>
      <c r="DN50" s="692"/>
      <c r="DO50" s="692"/>
      <c r="DP50" s="692"/>
      <c r="DQ50" s="692"/>
      <c r="DR50" s="692"/>
      <c r="DS50" s="692"/>
      <c r="DT50" s="692"/>
      <c r="DU50" s="692"/>
      <c r="DV50" s="692"/>
      <c r="DW50" s="692"/>
      <c r="DX50" s="692"/>
      <c r="DY50" s="692"/>
      <c r="DZ50" s="692"/>
      <c r="EA50" s="692"/>
      <c r="EB50" s="692"/>
      <c r="EC50" s="692"/>
      <c r="ED50" s="692"/>
      <c r="EE50" s="692"/>
      <c r="EF50" s="692"/>
      <c r="EG50" s="692"/>
      <c r="EH50" s="692"/>
      <c r="EI50" s="692"/>
      <c r="EJ50" s="692"/>
      <c r="EK50" s="692"/>
      <c r="EL50" s="692"/>
      <c r="EM50" s="692"/>
      <c r="EN50" s="692"/>
      <c r="EO50" s="692"/>
      <c r="EP50" s="692"/>
      <c r="EQ50" s="692"/>
      <c r="ER50" s="692"/>
      <c r="ES50" s="692"/>
      <c r="ET50" s="692"/>
      <c r="EU50" s="692"/>
      <c r="EV50" s="692"/>
      <c r="EW50" s="692"/>
      <c r="EX50" s="692"/>
      <c r="EY50" s="692"/>
      <c r="EZ50" s="692"/>
      <c r="FA50" s="692"/>
      <c r="FB50" s="692"/>
      <c r="FC50" s="692"/>
      <c r="FD50" s="692"/>
      <c r="FE50" s="692"/>
      <c r="FF50" s="692"/>
      <c r="FG50" s="692"/>
      <c r="FH50" s="692"/>
      <c r="FI50" s="692"/>
      <c r="FJ50" s="692"/>
      <c r="FK50" s="692"/>
      <c r="FL50" s="692"/>
      <c r="FM50" s="692"/>
      <c r="FN50" s="692"/>
      <c r="FO50" s="692"/>
      <c r="FP50" s="692"/>
      <c r="FQ50" s="692"/>
      <c r="FR50" s="692"/>
      <c r="FS50" s="692"/>
      <c r="FT50" s="692"/>
      <c r="FU50" s="692"/>
      <c r="FV50" s="692"/>
      <c r="FW50" s="692"/>
      <c r="FX50" s="692"/>
      <c r="FY50" s="692"/>
      <c r="FZ50" s="692"/>
      <c r="GA50" s="692"/>
      <c r="GB50" s="692"/>
      <c r="GC50" s="692"/>
      <c r="GD50" s="692"/>
      <c r="GE50" s="692"/>
      <c r="GF50" s="692"/>
      <c r="GG50" s="692"/>
      <c r="GH50" s="692"/>
      <c r="GI50" s="692"/>
      <c r="GJ50" s="692"/>
      <c r="GK50" s="692"/>
      <c r="GL50" s="692"/>
      <c r="GM50" s="692"/>
      <c r="GN50" s="692"/>
      <c r="GO50" s="692"/>
      <c r="GP50" s="692"/>
      <c r="GQ50" s="692"/>
      <c r="GR50" s="692"/>
      <c r="GS50" s="692"/>
      <c r="GT50" s="692"/>
      <c r="GU50" s="692"/>
      <c r="GV50" s="692"/>
      <c r="GW50" s="692"/>
      <c r="GX50" s="692"/>
      <c r="GY50" s="692"/>
      <c r="GZ50" s="692"/>
      <c r="HA50" s="692"/>
      <c r="HB50" s="692"/>
      <c r="HC50" s="692"/>
      <c r="HD50" s="692"/>
      <c r="HE50" s="692"/>
      <c r="HF50" s="692"/>
      <c r="HG50" s="692"/>
      <c r="HH50" s="692"/>
      <c r="HI50" s="692"/>
      <c r="HJ50" s="692"/>
      <c r="HK50" s="692"/>
      <c r="HL50" s="692"/>
      <c r="HM50" s="692"/>
      <c r="HN50" s="692"/>
      <c r="HO50" s="692"/>
      <c r="HP50" s="692"/>
      <c r="HQ50" s="692"/>
      <c r="HR50" s="692"/>
      <c r="HS50" s="692"/>
      <c r="HT50" s="692"/>
      <c r="HU50" s="692"/>
      <c r="HV50" s="692"/>
      <c r="HW50" s="692"/>
      <c r="HX50" s="692"/>
      <c r="HY50" s="692"/>
      <c r="HZ50" s="692"/>
      <c r="IA50" s="692"/>
      <c r="IB50" s="692"/>
      <c r="IC50" s="692"/>
      <c r="ID50" s="692"/>
      <c r="IE50" s="692"/>
      <c r="IF50" s="692"/>
      <c r="IG50" s="692"/>
      <c r="IH50" s="692"/>
      <c r="II50" s="692"/>
      <c r="IJ50" s="692"/>
      <c r="IK50" s="692"/>
      <c r="IL50" s="692"/>
      <c r="IM50" s="692"/>
      <c r="IN50" s="692"/>
      <c r="IO50" s="692"/>
      <c r="IP50" s="692"/>
      <c r="IQ50" s="692"/>
      <c r="IR50" s="692"/>
      <c r="IS50" s="692"/>
      <c r="IT50" s="692"/>
    </row>
    <row r="51" spans="1:254" s="723" customFormat="1" x14ac:dyDescent="0.2">
      <c r="W51" s="692"/>
      <c r="X51" s="692"/>
      <c r="Y51" s="692"/>
      <c r="Z51" s="692"/>
      <c r="AA51" s="692"/>
      <c r="AB51" s="692"/>
      <c r="AC51" s="692"/>
      <c r="AD51" s="692"/>
      <c r="AE51" s="692"/>
      <c r="AF51" s="692"/>
      <c r="AG51" s="692"/>
      <c r="AH51" s="692"/>
      <c r="AI51" s="692"/>
      <c r="AJ51" s="692"/>
      <c r="AK51" s="692"/>
      <c r="AL51" s="692"/>
      <c r="AM51" s="692"/>
      <c r="AN51" s="692"/>
      <c r="AO51" s="692"/>
      <c r="AP51" s="692"/>
      <c r="AQ51" s="692"/>
      <c r="AR51" s="692"/>
      <c r="AS51" s="692"/>
      <c r="AT51" s="692"/>
      <c r="AU51" s="692"/>
      <c r="AV51" s="692"/>
      <c r="AW51" s="692"/>
      <c r="AX51" s="692"/>
      <c r="AY51" s="692"/>
      <c r="AZ51" s="692"/>
      <c r="BA51" s="692"/>
      <c r="BB51" s="692"/>
      <c r="BC51" s="692"/>
      <c r="BD51" s="692"/>
      <c r="BE51" s="692"/>
      <c r="BF51" s="692"/>
      <c r="BG51" s="692"/>
      <c r="BH51" s="692"/>
      <c r="BI51" s="692"/>
      <c r="BJ51" s="692"/>
      <c r="BK51" s="692"/>
      <c r="BL51" s="692"/>
      <c r="BM51" s="692"/>
      <c r="BN51" s="692"/>
      <c r="BO51" s="692"/>
      <c r="BP51" s="692"/>
      <c r="BQ51" s="692"/>
      <c r="BR51" s="692"/>
      <c r="BS51" s="692"/>
      <c r="BT51" s="692"/>
      <c r="BU51" s="692"/>
      <c r="BV51" s="692"/>
      <c r="BW51" s="692"/>
      <c r="BX51" s="692"/>
      <c r="BY51" s="692"/>
      <c r="BZ51" s="692"/>
      <c r="CA51" s="692"/>
      <c r="CB51" s="692"/>
      <c r="CC51" s="692"/>
      <c r="CD51" s="692"/>
      <c r="CE51" s="692"/>
      <c r="CF51" s="692"/>
      <c r="CG51" s="692"/>
      <c r="CH51" s="692"/>
      <c r="CI51" s="692"/>
      <c r="CJ51" s="692"/>
      <c r="CK51" s="692"/>
      <c r="CL51" s="692"/>
      <c r="CM51" s="692"/>
      <c r="CN51" s="692"/>
      <c r="CO51" s="692"/>
      <c r="CP51" s="692"/>
      <c r="CQ51" s="692"/>
      <c r="CR51" s="692"/>
      <c r="CS51" s="692"/>
      <c r="CT51" s="692"/>
      <c r="CU51" s="692"/>
      <c r="CV51" s="692"/>
      <c r="CW51" s="692"/>
      <c r="CX51" s="692"/>
      <c r="CY51" s="692"/>
      <c r="CZ51" s="692"/>
      <c r="DA51" s="692"/>
      <c r="DB51" s="692"/>
      <c r="DC51" s="692"/>
      <c r="DD51" s="692"/>
      <c r="DE51" s="692"/>
      <c r="DF51" s="692"/>
      <c r="DG51" s="692"/>
      <c r="DH51" s="692"/>
      <c r="DI51" s="692"/>
      <c r="DJ51" s="692"/>
      <c r="DK51" s="692"/>
      <c r="DL51" s="692"/>
      <c r="DM51" s="692"/>
      <c r="DN51" s="692"/>
      <c r="DO51" s="692"/>
      <c r="DP51" s="692"/>
      <c r="DQ51" s="692"/>
      <c r="DR51" s="692"/>
      <c r="DS51" s="692"/>
      <c r="DT51" s="692"/>
      <c r="DU51" s="692"/>
      <c r="DV51" s="692"/>
      <c r="DW51" s="692"/>
      <c r="DX51" s="692"/>
      <c r="DY51" s="692"/>
      <c r="DZ51" s="692"/>
      <c r="EA51" s="692"/>
      <c r="EB51" s="692"/>
      <c r="EC51" s="692"/>
      <c r="ED51" s="692"/>
      <c r="EE51" s="692"/>
      <c r="EF51" s="692"/>
      <c r="EG51" s="692"/>
      <c r="EH51" s="692"/>
      <c r="EI51" s="692"/>
      <c r="EJ51" s="692"/>
      <c r="EK51" s="692"/>
      <c r="EL51" s="692"/>
      <c r="EM51" s="692"/>
      <c r="EN51" s="692"/>
      <c r="EO51" s="692"/>
      <c r="EP51" s="692"/>
      <c r="EQ51" s="692"/>
      <c r="ER51" s="692"/>
      <c r="ES51" s="692"/>
      <c r="ET51" s="692"/>
      <c r="EU51" s="692"/>
      <c r="EV51" s="692"/>
      <c r="EW51" s="692"/>
      <c r="EX51" s="692"/>
      <c r="EY51" s="692"/>
      <c r="EZ51" s="692"/>
      <c r="FA51" s="692"/>
      <c r="FB51" s="692"/>
      <c r="FC51" s="692"/>
      <c r="FD51" s="692"/>
      <c r="FE51" s="692"/>
      <c r="FF51" s="692"/>
      <c r="FG51" s="692"/>
      <c r="FH51" s="692"/>
      <c r="FI51" s="692"/>
      <c r="FJ51" s="692"/>
      <c r="FK51" s="692"/>
      <c r="FL51" s="692"/>
      <c r="FM51" s="692"/>
      <c r="FN51" s="692"/>
      <c r="FO51" s="692"/>
      <c r="FP51" s="692"/>
      <c r="FQ51" s="692"/>
      <c r="FR51" s="692"/>
      <c r="FS51" s="692"/>
      <c r="FT51" s="692"/>
      <c r="FU51" s="692"/>
      <c r="FV51" s="692"/>
      <c r="FW51" s="692"/>
      <c r="FX51" s="692"/>
      <c r="FY51" s="692"/>
      <c r="FZ51" s="692"/>
      <c r="GA51" s="692"/>
      <c r="GB51" s="692"/>
      <c r="GC51" s="692"/>
      <c r="GD51" s="692"/>
      <c r="GE51" s="692"/>
      <c r="GF51" s="692"/>
      <c r="GG51" s="692"/>
      <c r="GH51" s="692"/>
      <c r="GI51" s="692"/>
      <c r="GJ51" s="692"/>
      <c r="GK51" s="692"/>
      <c r="GL51" s="692"/>
      <c r="GM51" s="692"/>
      <c r="GN51" s="692"/>
      <c r="GO51" s="692"/>
      <c r="GP51" s="692"/>
      <c r="GQ51" s="692"/>
      <c r="GR51" s="692"/>
      <c r="GS51" s="692"/>
      <c r="GT51" s="692"/>
      <c r="GU51" s="692"/>
      <c r="GV51" s="692"/>
      <c r="GW51" s="692"/>
      <c r="GX51" s="692"/>
      <c r="GY51" s="692"/>
      <c r="GZ51" s="692"/>
      <c r="HA51" s="692"/>
      <c r="HB51" s="692"/>
      <c r="HC51" s="692"/>
      <c r="HD51" s="692"/>
      <c r="HE51" s="692"/>
      <c r="HF51" s="692"/>
      <c r="HG51" s="692"/>
      <c r="HH51" s="692"/>
      <c r="HI51" s="692"/>
      <c r="HJ51" s="692"/>
      <c r="HK51" s="692"/>
      <c r="HL51" s="692"/>
      <c r="HM51" s="692"/>
      <c r="HN51" s="692"/>
      <c r="HO51" s="692"/>
      <c r="HP51" s="692"/>
      <c r="HQ51" s="692"/>
      <c r="HR51" s="692"/>
      <c r="HS51" s="692"/>
      <c r="HT51" s="692"/>
      <c r="HU51" s="692"/>
      <c r="HV51" s="692"/>
      <c r="HW51" s="692"/>
      <c r="HX51" s="692"/>
      <c r="HY51" s="692"/>
      <c r="HZ51" s="692"/>
      <c r="IA51" s="692"/>
      <c r="IB51" s="692"/>
      <c r="IC51" s="692"/>
      <c r="ID51" s="692"/>
      <c r="IE51" s="692"/>
      <c r="IF51" s="692"/>
      <c r="IG51" s="692"/>
      <c r="IH51" s="692"/>
      <c r="II51" s="692"/>
      <c r="IJ51" s="692"/>
      <c r="IK51" s="692"/>
      <c r="IL51" s="692"/>
      <c r="IM51" s="692"/>
      <c r="IN51" s="692"/>
      <c r="IO51" s="692"/>
      <c r="IP51" s="692"/>
      <c r="IQ51" s="692"/>
      <c r="IR51" s="692"/>
      <c r="IS51" s="692"/>
      <c r="IT51" s="692"/>
    </row>
    <row r="52" spans="1:254" s="723" customFormat="1" x14ac:dyDescent="0.2">
      <c r="W52" s="692"/>
      <c r="X52" s="692"/>
      <c r="Y52" s="692"/>
      <c r="Z52" s="692"/>
      <c r="AA52" s="692"/>
      <c r="AB52" s="692"/>
      <c r="AC52" s="692"/>
      <c r="AD52" s="692"/>
      <c r="AE52" s="692"/>
      <c r="AF52" s="692"/>
      <c r="AG52" s="692"/>
      <c r="AH52" s="692"/>
      <c r="AI52" s="692"/>
      <c r="AJ52" s="692"/>
      <c r="AK52" s="692"/>
      <c r="AL52" s="692"/>
      <c r="AM52" s="692"/>
      <c r="AN52" s="692"/>
      <c r="AO52" s="692"/>
      <c r="AP52" s="692"/>
      <c r="AQ52" s="692"/>
      <c r="AR52" s="692"/>
      <c r="AS52" s="692"/>
      <c r="AT52" s="692"/>
      <c r="AU52" s="692"/>
      <c r="AV52" s="692"/>
      <c r="AW52" s="692"/>
      <c r="AX52" s="692"/>
      <c r="AY52" s="692"/>
      <c r="AZ52" s="692"/>
      <c r="BA52" s="692"/>
      <c r="BB52" s="692"/>
      <c r="BC52" s="692"/>
      <c r="BD52" s="692"/>
      <c r="BE52" s="692"/>
      <c r="BF52" s="692"/>
      <c r="BG52" s="692"/>
      <c r="BH52" s="692"/>
      <c r="BI52" s="692"/>
      <c r="BJ52" s="692"/>
      <c r="BK52" s="692"/>
      <c r="BL52" s="692"/>
      <c r="BM52" s="692"/>
      <c r="BN52" s="692"/>
      <c r="BO52" s="692"/>
      <c r="BP52" s="692"/>
      <c r="BQ52" s="692"/>
      <c r="BR52" s="692"/>
      <c r="BS52" s="692"/>
      <c r="BT52" s="692"/>
      <c r="BU52" s="692"/>
      <c r="BV52" s="692"/>
      <c r="BW52" s="692"/>
      <c r="BX52" s="692"/>
      <c r="BY52" s="692"/>
      <c r="BZ52" s="692"/>
      <c r="CA52" s="692"/>
      <c r="CB52" s="692"/>
      <c r="CC52" s="692"/>
      <c r="CD52" s="692"/>
      <c r="CE52" s="692"/>
      <c r="CF52" s="692"/>
      <c r="CG52" s="692"/>
      <c r="CH52" s="692"/>
      <c r="CI52" s="692"/>
      <c r="CJ52" s="692"/>
      <c r="CK52" s="692"/>
      <c r="CL52" s="692"/>
      <c r="CM52" s="692"/>
      <c r="CN52" s="692"/>
      <c r="CO52" s="692"/>
      <c r="CP52" s="692"/>
      <c r="CQ52" s="692"/>
      <c r="CR52" s="692"/>
      <c r="CS52" s="692"/>
      <c r="CT52" s="692"/>
      <c r="CU52" s="692"/>
      <c r="CV52" s="692"/>
      <c r="CW52" s="692"/>
      <c r="CX52" s="692"/>
      <c r="CY52" s="692"/>
      <c r="CZ52" s="692"/>
      <c r="DA52" s="692"/>
      <c r="DB52" s="692"/>
      <c r="DC52" s="692"/>
      <c r="DD52" s="692"/>
      <c r="DE52" s="692"/>
      <c r="DF52" s="692"/>
      <c r="DG52" s="692"/>
      <c r="DH52" s="692"/>
      <c r="DI52" s="692"/>
      <c r="DJ52" s="692"/>
      <c r="DK52" s="692"/>
      <c r="DL52" s="692"/>
      <c r="DM52" s="692"/>
      <c r="DN52" s="692"/>
      <c r="DO52" s="692"/>
      <c r="DP52" s="692"/>
      <c r="DQ52" s="692"/>
      <c r="DR52" s="692"/>
      <c r="DS52" s="692"/>
      <c r="DT52" s="692"/>
      <c r="DU52" s="692"/>
      <c r="DV52" s="692"/>
      <c r="DW52" s="692"/>
      <c r="DX52" s="692"/>
      <c r="DY52" s="692"/>
      <c r="DZ52" s="692"/>
      <c r="EA52" s="692"/>
      <c r="EB52" s="692"/>
      <c r="EC52" s="692"/>
      <c r="ED52" s="692"/>
      <c r="EE52" s="692"/>
      <c r="EF52" s="692"/>
      <c r="EG52" s="692"/>
      <c r="EH52" s="692"/>
      <c r="EI52" s="692"/>
      <c r="EJ52" s="692"/>
      <c r="EK52" s="692"/>
      <c r="EL52" s="692"/>
      <c r="EM52" s="692"/>
      <c r="EN52" s="692"/>
      <c r="EO52" s="692"/>
      <c r="EP52" s="692"/>
      <c r="EQ52" s="692"/>
      <c r="ER52" s="692"/>
      <c r="ES52" s="692"/>
      <c r="ET52" s="692"/>
      <c r="EU52" s="692"/>
      <c r="EV52" s="692"/>
      <c r="EW52" s="692"/>
      <c r="EX52" s="692"/>
      <c r="EY52" s="692"/>
      <c r="EZ52" s="692"/>
      <c r="FA52" s="692"/>
      <c r="FB52" s="692"/>
      <c r="FC52" s="692"/>
      <c r="FD52" s="692"/>
      <c r="FE52" s="692"/>
      <c r="FF52" s="692"/>
      <c r="FG52" s="692"/>
      <c r="FH52" s="692"/>
      <c r="FI52" s="692"/>
      <c r="FJ52" s="692"/>
      <c r="FK52" s="692"/>
      <c r="FL52" s="692"/>
      <c r="FM52" s="692"/>
      <c r="FN52" s="692"/>
      <c r="FO52" s="692"/>
      <c r="FP52" s="692"/>
      <c r="FQ52" s="692"/>
      <c r="FR52" s="692"/>
      <c r="FS52" s="692"/>
      <c r="FT52" s="692"/>
      <c r="FU52" s="692"/>
      <c r="FV52" s="692"/>
      <c r="FW52" s="692"/>
      <c r="FX52" s="692"/>
      <c r="FY52" s="692"/>
      <c r="FZ52" s="692"/>
      <c r="GA52" s="692"/>
      <c r="GB52" s="692"/>
      <c r="GC52" s="692"/>
      <c r="GD52" s="692"/>
      <c r="GE52" s="692"/>
      <c r="GF52" s="692"/>
      <c r="GG52" s="692"/>
      <c r="GH52" s="692"/>
      <c r="GI52" s="692"/>
      <c r="GJ52" s="692"/>
      <c r="GK52" s="692"/>
      <c r="GL52" s="692"/>
      <c r="GM52" s="692"/>
      <c r="GN52" s="692"/>
      <c r="GO52" s="692"/>
      <c r="GP52" s="692"/>
      <c r="GQ52" s="692"/>
      <c r="GR52" s="692"/>
      <c r="GS52" s="692"/>
      <c r="GT52" s="692"/>
      <c r="GU52" s="692"/>
      <c r="GV52" s="692"/>
      <c r="GW52" s="692"/>
      <c r="GX52" s="692"/>
      <c r="GY52" s="692"/>
      <c r="GZ52" s="692"/>
      <c r="HA52" s="692"/>
      <c r="HB52" s="692"/>
      <c r="HC52" s="692"/>
      <c r="HD52" s="692"/>
      <c r="HE52" s="692"/>
      <c r="HF52" s="692"/>
      <c r="HG52" s="692"/>
      <c r="HH52" s="692"/>
      <c r="HI52" s="692"/>
      <c r="HJ52" s="692"/>
      <c r="HK52" s="692"/>
      <c r="HL52" s="692"/>
      <c r="HM52" s="692"/>
      <c r="HN52" s="692"/>
      <c r="HO52" s="692"/>
      <c r="HP52" s="692"/>
      <c r="HQ52" s="692"/>
      <c r="HR52" s="692"/>
      <c r="HS52" s="692"/>
      <c r="HT52" s="692"/>
      <c r="HU52" s="692"/>
      <c r="HV52" s="692"/>
      <c r="HW52" s="692"/>
      <c r="HX52" s="692"/>
      <c r="HY52" s="692"/>
      <c r="HZ52" s="692"/>
      <c r="IA52" s="692"/>
      <c r="IB52" s="692"/>
      <c r="IC52" s="692"/>
      <c r="ID52" s="692"/>
      <c r="IE52" s="692"/>
      <c r="IF52" s="692"/>
      <c r="IG52" s="692"/>
      <c r="IH52" s="692"/>
      <c r="II52" s="692"/>
      <c r="IJ52" s="692"/>
      <c r="IK52" s="692"/>
      <c r="IL52" s="692"/>
      <c r="IM52" s="692"/>
      <c r="IN52" s="692"/>
      <c r="IO52" s="692"/>
      <c r="IP52" s="692"/>
      <c r="IQ52" s="692"/>
      <c r="IR52" s="692"/>
      <c r="IS52" s="692"/>
      <c r="IT52" s="692"/>
    </row>
    <row r="53" spans="1:254" s="723" customFormat="1" x14ac:dyDescent="0.2">
      <c r="W53" s="692"/>
      <c r="X53" s="692"/>
      <c r="Y53" s="692"/>
      <c r="Z53" s="692"/>
      <c r="AA53" s="692"/>
      <c r="AB53" s="692"/>
      <c r="AC53" s="692"/>
      <c r="AD53" s="692"/>
      <c r="AE53" s="692"/>
      <c r="AF53" s="692"/>
      <c r="AG53" s="692"/>
      <c r="AH53" s="692"/>
      <c r="AI53" s="692"/>
      <c r="AJ53" s="692"/>
      <c r="AK53" s="692"/>
      <c r="AL53" s="692"/>
      <c r="AM53" s="692"/>
      <c r="AN53" s="692"/>
      <c r="AO53" s="692"/>
      <c r="AP53" s="692"/>
      <c r="AQ53" s="692"/>
      <c r="AR53" s="692"/>
      <c r="AS53" s="692"/>
      <c r="AT53" s="692"/>
      <c r="AU53" s="692"/>
      <c r="AV53" s="692"/>
      <c r="AW53" s="692"/>
      <c r="AX53" s="692"/>
      <c r="AY53" s="692"/>
      <c r="AZ53" s="692"/>
      <c r="BA53" s="692"/>
      <c r="BB53" s="692"/>
      <c r="BC53" s="692"/>
      <c r="BD53" s="692"/>
      <c r="BE53" s="692"/>
      <c r="BF53" s="692"/>
      <c r="BG53" s="692"/>
      <c r="BH53" s="692"/>
      <c r="BI53" s="692"/>
      <c r="BJ53" s="692"/>
      <c r="BK53" s="692"/>
      <c r="BL53" s="692"/>
      <c r="BM53" s="692"/>
      <c r="BN53" s="692"/>
      <c r="BO53" s="692"/>
      <c r="BP53" s="692"/>
      <c r="BQ53" s="692"/>
      <c r="BR53" s="692"/>
      <c r="BS53" s="692"/>
      <c r="BT53" s="692"/>
      <c r="BU53" s="692"/>
      <c r="BV53" s="692"/>
      <c r="BW53" s="692"/>
      <c r="BX53" s="692"/>
      <c r="BY53" s="692"/>
      <c r="BZ53" s="692"/>
      <c r="CA53" s="692"/>
      <c r="CB53" s="692"/>
      <c r="CC53" s="692"/>
      <c r="CD53" s="692"/>
      <c r="CE53" s="692"/>
      <c r="CF53" s="692"/>
      <c r="CG53" s="692"/>
      <c r="CH53" s="692"/>
      <c r="CI53" s="692"/>
      <c r="CJ53" s="692"/>
      <c r="CK53" s="692"/>
      <c r="CL53" s="692"/>
      <c r="CM53" s="692"/>
      <c r="CN53" s="692"/>
      <c r="CO53" s="692"/>
      <c r="CP53" s="692"/>
      <c r="CQ53" s="692"/>
      <c r="CR53" s="692"/>
      <c r="CS53" s="692"/>
      <c r="CT53" s="692"/>
      <c r="CU53" s="692"/>
      <c r="CV53" s="692"/>
      <c r="CW53" s="692"/>
      <c r="CX53" s="692"/>
      <c r="CY53" s="692"/>
      <c r="CZ53" s="692"/>
      <c r="DA53" s="692"/>
      <c r="DB53" s="692"/>
      <c r="DC53" s="692"/>
      <c r="DD53" s="692"/>
      <c r="DE53" s="692"/>
      <c r="DF53" s="692"/>
      <c r="DG53" s="692"/>
      <c r="DH53" s="692"/>
      <c r="DI53" s="692"/>
      <c r="DJ53" s="692"/>
      <c r="DK53" s="692"/>
      <c r="DL53" s="692"/>
      <c r="DM53" s="692"/>
      <c r="DN53" s="692"/>
      <c r="DO53" s="692"/>
      <c r="DP53" s="692"/>
      <c r="DQ53" s="692"/>
      <c r="DR53" s="692"/>
      <c r="DS53" s="692"/>
      <c r="DT53" s="692"/>
      <c r="DU53" s="692"/>
      <c r="DV53" s="692"/>
      <c r="DW53" s="692"/>
      <c r="DX53" s="692"/>
      <c r="DY53" s="692"/>
      <c r="DZ53" s="692"/>
      <c r="EA53" s="692"/>
      <c r="EB53" s="692"/>
      <c r="EC53" s="692"/>
      <c r="ED53" s="692"/>
      <c r="EE53" s="692"/>
      <c r="EF53" s="692"/>
      <c r="EG53" s="692"/>
      <c r="EH53" s="692"/>
      <c r="EI53" s="692"/>
      <c r="EJ53" s="692"/>
      <c r="EK53" s="692"/>
      <c r="EL53" s="692"/>
      <c r="EM53" s="692"/>
      <c r="EN53" s="692"/>
      <c r="EO53" s="692"/>
      <c r="EP53" s="692"/>
      <c r="EQ53" s="692"/>
      <c r="ER53" s="692"/>
      <c r="ES53" s="692"/>
      <c r="ET53" s="692"/>
      <c r="EU53" s="692"/>
      <c r="EV53" s="692"/>
      <c r="EW53" s="692"/>
      <c r="EX53" s="692"/>
      <c r="EY53" s="692"/>
      <c r="EZ53" s="692"/>
      <c r="FA53" s="692"/>
      <c r="FB53" s="692"/>
      <c r="FC53" s="692"/>
      <c r="FD53" s="692"/>
      <c r="FE53" s="692"/>
      <c r="FF53" s="692"/>
      <c r="FG53" s="692"/>
      <c r="FH53" s="692"/>
      <c r="FI53" s="692"/>
      <c r="FJ53" s="692"/>
      <c r="FK53" s="692"/>
      <c r="FL53" s="692"/>
      <c r="FM53" s="692"/>
      <c r="FN53" s="692"/>
      <c r="FO53" s="692"/>
      <c r="FP53" s="692"/>
      <c r="FQ53" s="692"/>
      <c r="FR53" s="692"/>
      <c r="FS53" s="692"/>
      <c r="FT53" s="692"/>
      <c r="FU53" s="692"/>
      <c r="FV53" s="692"/>
      <c r="FW53" s="692"/>
      <c r="FX53" s="692"/>
      <c r="FY53" s="692"/>
      <c r="FZ53" s="692"/>
      <c r="GA53" s="692"/>
      <c r="GB53" s="692"/>
      <c r="GC53" s="692"/>
      <c r="GD53" s="692"/>
      <c r="GE53" s="692"/>
      <c r="GF53" s="692"/>
      <c r="GG53" s="692"/>
      <c r="GH53" s="692"/>
      <c r="GI53" s="692"/>
      <c r="GJ53" s="692"/>
      <c r="GK53" s="692"/>
      <c r="GL53" s="692"/>
      <c r="GM53" s="692"/>
      <c r="GN53" s="692"/>
      <c r="GO53" s="692"/>
      <c r="GP53" s="692"/>
      <c r="GQ53" s="692"/>
      <c r="GR53" s="692"/>
      <c r="GS53" s="692"/>
      <c r="GT53" s="692"/>
      <c r="GU53" s="692"/>
      <c r="GV53" s="692"/>
      <c r="GW53" s="692"/>
      <c r="GX53" s="692"/>
      <c r="GY53" s="692"/>
      <c r="GZ53" s="692"/>
      <c r="HA53" s="692"/>
      <c r="HB53" s="692"/>
      <c r="HC53" s="692"/>
      <c r="HD53" s="692"/>
      <c r="HE53" s="692"/>
      <c r="HF53" s="692"/>
      <c r="HG53" s="692"/>
      <c r="HH53" s="692"/>
      <c r="HI53" s="692"/>
      <c r="HJ53" s="692"/>
      <c r="HK53" s="692"/>
      <c r="HL53" s="692"/>
      <c r="HM53" s="692"/>
      <c r="HN53" s="692"/>
      <c r="HO53" s="692"/>
      <c r="HP53" s="692"/>
      <c r="HQ53" s="692"/>
      <c r="HR53" s="692"/>
      <c r="HS53" s="692"/>
      <c r="HT53" s="692"/>
      <c r="HU53" s="692"/>
      <c r="HV53" s="692"/>
      <c r="HW53" s="692"/>
      <c r="HX53" s="692"/>
      <c r="HY53" s="692"/>
      <c r="HZ53" s="692"/>
      <c r="IA53" s="692"/>
      <c r="IB53" s="692"/>
      <c r="IC53" s="692"/>
      <c r="ID53" s="692"/>
      <c r="IE53" s="692"/>
      <c r="IF53" s="692"/>
      <c r="IG53" s="692"/>
      <c r="IH53" s="692"/>
      <c r="II53" s="692"/>
      <c r="IJ53" s="692"/>
      <c r="IK53" s="692"/>
      <c r="IL53" s="692"/>
      <c r="IM53" s="692"/>
      <c r="IN53" s="692"/>
      <c r="IO53" s="692"/>
      <c r="IP53" s="692"/>
      <c r="IQ53" s="692"/>
      <c r="IR53" s="692"/>
      <c r="IS53" s="692"/>
      <c r="IT53" s="692"/>
    </row>
    <row r="54" spans="1:254" s="723" customFormat="1" x14ac:dyDescent="0.2">
      <c r="W54" s="692"/>
      <c r="X54" s="692"/>
      <c r="Y54" s="692"/>
      <c r="Z54" s="692"/>
      <c r="AA54" s="692"/>
      <c r="AB54" s="692"/>
      <c r="AC54" s="692"/>
      <c r="AD54" s="692"/>
      <c r="AE54" s="692"/>
      <c r="AF54" s="692"/>
      <c r="AG54" s="692"/>
      <c r="AH54" s="692"/>
      <c r="AI54" s="692"/>
      <c r="AJ54" s="692"/>
      <c r="AK54" s="692"/>
      <c r="AL54" s="692"/>
      <c r="AM54" s="692"/>
      <c r="AN54" s="692"/>
      <c r="AO54" s="692"/>
      <c r="AP54" s="692"/>
      <c r="AQ54" s="692"/>
      <c r="AR54" s="692"/>
      <c r="AS54" s="692"/>
      <c r="AT54" s="692"/>
      <c r="AU54" s="692"/>
      <c r="AV54" s="692"/>
      <c r="AW54" s="692"/>
      <c r="AX54" s="692"/>
      <c r="AY54" s="692"/>
      <c r="AZ54" s="692"/>
      <c r="BA54" s="692"/>
      <c r="BB54" s="692"/>
      <c r="BC54" s="692"/>
      <c r="BD54" s="692"/>
      <c r="BE54" s="692"/>
      <c r="BF54" s="692"/>
      <c r="BG54" s="692"/>
      <c r="BH54" s="692"/>
      <c r="BI54" s="692"/>
      <c r="BJ54" s="692"/>
      <c r="BK54" s="692"/>
      <c r="BL54" s="692"/>
      <c r="BM54" s="692"/>
      <c r="BN54" s="692"/>
      <c r="BO54" s="692"/>
      <c r="BP54" s="692"/>
      <c r="BQ54" s="692"/>
      <c r="BR54" s="692"/>
      <c r="BS54" s="692"/>
      <c r="BT54" s="692"/>
      <c r="BU54" s="692"/>
      <c r="BV54" s="692"/>
      <c r="BW54" s="692"/>
      <c r="BX54" s="692"/>
      <c r="BY54" s="692"/>
      <c r="BZ54" s="692"/>
      <c r="CA54" s="692"/>
      <c r="CB54" s="692"/>
      <c r="CC54" s="692"/>
      <c r="CD54" s="692"/>
      <c r="CE54" s="692"/>
      <c r="CF54" s="692"/>
      <c r="CG54" s="692"/>
      <c r="CH54" s="692"/>
      <c r="CI54" s="692"/>
      <c r="CJ54" s="692"/>
      <c r="CK54" s="692"/>
      <c r="CL54" s="692"/>
      <c r="CM54" s="692"/>
      <c r="CN54" s="692"/>
      <c r="CO54" s="692"/>
      <c r="CP54" s="692"/>
      <c r="CQ54" s="692"/>
      <c r="CR54" s="692"/>
      <c r="CS54" s="692"/>
      <c r="CT54" s="692"/>
      <c r="CU54" s="692"/>
      <c r="CV54" s="692"/>
      <c r="CW54" s="692"/>
      <c r="CX54" s="692"/>
      <c r="CY54" s="692"/>
      <c r="CZ54" s="692"/>
      <c r="DA54" s="692"/>
      <c r="DB54" s="692"/>
      <c r="DC54" s="692"/>
      <c r="DD54" s="692"/>
      <c r="DE54" s="692"/>
      <c r="DF54" s="692"/>
      <c r="DG54" s="692"/>
      <c r="DH54" s="692"/>
      <c r="DI54" s="692"/>
      <c r="DJ54" s="692"/>
      <c r="DK54" s="692"/>
      <c r="DL54" s="692"/>
      <c r="DM54" s="692"/>
      <c r="DN54" s="692"/>
      <c r="DO54" s="692"/>
      <c r="DP54" s="692"/>
      <c r="DQ54" s="692"/>
      <c r="DR54" s="692"/>
      <c r="DS54" s="692"/>
      <c r="DT54" s="692"/>
      <c r="DU54" s="692"/>
      <c r="DV54" s="692"/>
      <c r="DW54" s="692"/>
      <c r="DX54" s="692"/>
      <c r="DY54" s="692"/>
      <c r="DZ54" s="692"/>
      <c r="EA54" s="692"/>
      <c r="EB54" s="692"/>
      <c r="EC54" s="692"/>
      <c r="ED54" s="692"/>
      <c r="EE54" s="692"/>
      <c r="EF54" s="692"/>
      <c r="EG54" s="692"/>
      <c r="EH54" s="692"/>
      <c r="EI54" s="692"/>
      <c r="EJ54" s="692"/>
      <c r="EK54" s="692"/>
      <c r="EL54" s="692"/>
      <c r="EM54" s="692"/>
      <c r="EN54" s="692"/>
      <c r="EO54" s="692"/>
      <c r="EP54" s="692"/>
      <c r="EQ54" s="692"/>
      <c r="ER54" s="692"/>
      <c r="ES54" s="692"/>
      <c r="ET54" s="692"/>
      <c r="EU54" s="692"/>
      <c r="EV54" s="692"/>
      <c r="EW54" s="692"/>
      <c r="EX54" s="692"/>
      <c r="EY54" s="692"/>
      <c r="EZ54" s="692"/>
      <c r="FA54" s="692"/>
      <c r="FB54" s="692"/>
      <c r="FC54" s="692"/>
      <c r="FD54" s="692"/>
      <c r="FE54" s="692"/>
      <c r="FF54" s="692"/>
      <c r="FG54" s="692"/>
      <c r="FH54" s="692"/>
      <c r="FI54" s="692"/>
      <c r="FJ54" s="692"/>
      <c r="FK54" s="692"/>
      <c r="FL54" s="692"/>
      <c r="FM54" s="692"/>
      <c r="FN54" s="692"/>
      <c r="FO54" s="692"/>
      <c r="FP54" s="692"/>
      <c r="FQ54" s="692"/>
      <c r="FR54" s="692"/>
      <c r="FS54" s="692"/>
      <c r="FT54" s="692"/>
      <c r="FU54" s="692"/>
      <c r="FV54" s="692"/>
      <c r="FW54" s="692"/>
      <c r="FX54" s="692"/>
      <c r="FY54" s="692"/>
      <c r="FZ54" s="692"/>
      <c r="GA54" s="692"/>
      <c r="GB54" s="692"/>
      <c r="GC54" s="692"/>
      <c r="GD54" s="692"/>
      <c r="GE54" s="692"/>
      <c r="GF54" s="692"/>
      <c r="GG54" s="692"/>
      <c r="GH54" s="692"/>
      <c r="GI54" s="692"/>
      <c r="GJ54" s="692"/>
      <c r="GK54" s="692"/>
      <c r="GL54" s="692"/>
      <c r="GM54" s="692"/>
      <c r="GN54" s="692"/>
      <c r="GO54" s="692"/>
      <c r="GP54" s="692"/>
      <c r="GQ54" s="692"/>
      <c r="GR54" s="692"/>
      <c r="GS54" s="692"/>
      <c r="GT54" s="692"/>
      <c r="GU54" s="692"/>
      <c r="GV54" s="692"/>
      <c r="GW54" s="692"/>
      <c r="GX54" s="692"/>
      <c r="GY54" s="692"/>
      <c r="GZ54" s="692"/>
      <c r="HA54" s="692"/>
      <c r="HB54" s="692"/>
      <c r="HC54" s="692"/>
      <c r="HD54" s="692"/>
      <c r="HE54" s="692"/>
      <c r="HF54" s="692"/>
      <c r="HG54" s="692"/>
      <c r="HH54" s="692"/>
      <c r="HI54" s="692"/>
      <c r="HJ54" s="692"/>
      <c r="HK54" s="692"/>
      <c r="HL54" s="692"/>
      <c r="HM54" s="692"/>
      <c r="HN54" s="692"/>
      <c r="HO54" s="692"/>
      <c r="HP54" s="692"/>
      <c r="HQ54" s="692"/>
      <c r="HR54" s="692"/>
      <c r="HS54" s="692"/>
      <c r="HT54" s="692"/>
      <c r="HU54" s="692"/>
      <c r="HV54" s="692"/>
      <c r="HW54" s="692"/>
      <c r="HX54" s="692"/>
      <c r="HY54" s="692"/>
      <c r="HZ54" s="692"/>
      <c r="IA54" s="692"/>
      <c r="IB54" s="692"/>
      <c r="IC54" s="692"/>
      <c r="ID54" s="692"/>
      <c r="IE54" s="692"/>
      <c r="IF54" s="692"/>
      <c r="IG54" s="692"/>
      <c r="IH54" s="692"/>
      <c r="II54" s="692"/>
      <c r="IJ54" s="692"/>
      <c r="IK54" s="692"/>
      <c r="IL54" s="692"/>
      <c r="IM54" s="692"/>
      <c r="IN54" s="692"/>
      <c r="IO54" s="692"/>
      <c r="IP54" s="692"/>
      <c r="IQ54" s="692"/>
      <c r="IR54" s="692"/>
      <c r="IS54" s="692"/>
      <c r="IT54" s="692"/>
    </row>
    <row r="55" spans="1:254" s="723" customFormat="1" x14ac:dyDescent="0.2">
      <c r="W55" s="692"/>
      <c r="X55" s="692"/>
      <c r="Y55" s="692"/>
      <c r="Z55" s="692"/>
      <c r="AA55" s="692"/>
      <c r="AB55" s="692"/>
      <c r="AC55" s="692"/>
      <c r="AD55" s="692"/>
      <c r="AE55" s="692"/>
      <c r="AF55" s="692"/>
      <c r="AG55" s="692"/>
      <c r="AH55" s="692"/>
      <c r="AI55" s="692"/>
      <c r="AJ55" s="692"/>
      <c r="AK55" s="692"/>
      <c r="AL55" s="692"/>
      <c r="AM55" s="692"/>
      <c r="AN55" s="692"/>
      <c r="AO55" s="692"/>
      <c r="AP55" s="692"/>
      <c r="AQ55" s="692"/>
      <c r="AR55" s="692"/>
      <c r="AS55" s="692"/>
      <c r="AT55" s="692"/>
      <c r="AU55" s="692"/>
      <c r="AV55" s="692"/>
      <c r="AW55" s="692"/>
      <c r="AX55" s="692"/>
      <c r="AY55" s="692"/>
      <c r="AZ55" s="692"/>
      <c r="BA55" s="692"/>
      <c r="BB55" s="692"/>
      <c r="BC55" s="692"/>
      <c r="BD55" s="692"/>
      <c r="BE55" s="692"/>
      <c r="BF55" s="692"/>
      <c r="BG55" s="692"/>
      <c r="BH55" s="692"/>
      <c r="BI55" s="692"/>
      <c r="BJ55" s="692"/>
      <c r="BK55" s="692"/>
      <c r="BL55" s="692"/>
      <c r="BM55" s="692"/>
      <c r="BN55" s="692"/>
      <c r="BO55" s="692"/>
      <c r="BP55" s="692"/>
      <c r="BQ55" s="692"/>
      <c r="BR55" s="692"/>
      <c r="BS55" s="692"/>
      <c r="BT55" s="692"/>
      <c r="BU55" s="692"/>
      <c r="BV55" s="692"/>
      <c r="BW55" s="692"/>
      <c r="BX55" s="692"/>
      <c r="BY55" s="692"/>
      <c r="BZ55" s="692"/>
      <c r="CA55" s="692"/>
      <c r="CB55" s="692"/>
      <c r="CC55" s="692"/>
      <c r="CD55" s="692"/>
      <c r="CE55" s="692"/>
      <c r="CF55" s="692"/>
      <c r="CG55" s="692"/>
      <c r="CH55" s="692"/>
      <c r="CI55" s="692"/>
      <c r="CJ55" s="692"/>
      <c r="CK55" s="692"/>
      <c r="CL55" s="692"/>
      <c r="CM55" s="692"/>
      <c r="CN55" s="692"/>
      <c r="CO55" s="692"/>
      <c r="CP55" s="692"/>
      <c r="CQ55" s="692"/>
      <c r="CR55" s="692"/>
      <c r="CS55" s="692"/>
      <c r="CT55" s="692"/>
      <c r="CU55" s="692"/>
      <c r="CV55" s="692"/>
      <c r="CW55" s="692"/>
      <c r="CX55" s="692"/>
      <c r="CY55" s="692"/>
      <c r="CZ55" s="692"/>
      <c r="DA55" s="692"/>
      <c r="DB55" s="692"/>
      <c r="DC55" s="692"/>
      <c r="DD55" s="692"/>
      <c r="DE55" s="692"/>
      <c r="DF55" s="692"/>
      <c r="DG55" s="692"/>
      <c r="DH55" s="692"/>
      <c r="DI55" s="692"/>
      <c r="DJ55" s="692"/>
      <c r="DK55" s="692"/>
      <c r="DL55" s="692"/>
      <c r="DM55" s="692"/>
      <c r="DN55" s="692"/>
      <c r="DO55" s="692"/>
      <c r="DP55" s="692"/>
      <c r="DQ55" s="692"/>
      <c r="DR55" s="692"/>
      <c r="DS55" s="692"/>
      <c r="DT55" s="692"/>
      <c r="DU55" s="692"/>
      <c r="DV55" s="692"/>
      <c r="DW55" s="692"/>
      <c r="DX55" s="692"/>
      <c r="DY55" s="692"/>
      <c r="DZ55" s="692"/>
      <c r="EA55" s="692"/>
      <c r="EB55" s="692"/>
      <c r="EC55" s="692"/>
      <c r="ED55" s="692"/>
      <c r="EE55" s="692"/>
      <c r="EF55" s="692"/>
      <c r="EG55" s="692"/>
      <c r="EH55" s="692"/>
      <c r="EI55" s="692"/>
      <c r="EJ55" s="692"/>
      <c r="EK55" s="692"/>
      <c r="EL55" s="692"/>
      <c r="EM55" s="692"/>
      <c r="EN55" s="692"/>
      <c r="EO55" s="692"/>
      <c r="EP55" s="692"/>
      <c r="EQ55" s="692"/>
      <c r="ER55" s="692"/>
      <c r="ES55" s="692"/>
      <c r="ET55" s="692"/>
      <c r="EU55" s="692"/>
      <c r="EV55" s="692"/>
      <c r="EW55" s="692"/>
      <c r="EX55" s="692"/>
      <c r="EY55" s="692"/>
      <c r="EZ55" s="692"/>
      <c r="FA55" s="692"/>
      <c r="FB55" s="692"/>
      <c r="FC55" s="692"/>
      <c r="FD55" s="692"/>
      <c r="FE55" s="692"/>
      <c r="FF55" s="692"/>
      <c r="FG55" s="692"/>
      <c r="FH55" s="692"/>
      <c r="FI55" s="692"/>
      <c r="FJ55" s="692"/>
      <c r="FK55" s="692"/>
      <c r="FL55" s="692"/>
      <c r="FM55" s="692"/>
      <c r="FN55" s="692"/>
      <c r="FO55" s="692"/>
      <c r="FP55" s="692"/>
      <c r="FQ55" s="692"/>
      <c r="FR55" s="692"/>
      <c r="FS55" s="692"/>
      <c r="FT55" s="692"/>
      <c r="FU55" s="692"/>
      <c r="FV55" s="692"/>
      <c r="FW55" s="692"/>
      <c r="FX55" s="692"/>
      <c r="FY55" s="692"/>
      <c r="FZ55" s="692"/>
      <c r="GA55" s="692"/>
      <c r="GB55" s="692"/>
      <c r="GC55" s="692"/>
      <c r="GD55" s="692"/>
      <c r="GE55" s="692"/>
      <c r="GF55" s="692"/>
      <c r="GG55" s="692"/>
      <c r="GH55" s="692"/>
      <c r="GI55" s="692"/>
      <c r="GJ55" s="692"/>
      <c r="GK55" s="692"/>
      <c r="GL55" s="692"/>
      <c r="GM55" s="692"/>
      <c r="GN55" s="692"/>
      <c r="GO55" s="692"/>
      <c r="GP55" s="692"/>
      <c r="GQ55" s="692"/>
      <c r="GR55" s="692"/>
      <c r="GS55" s="692"/>
      <c r="GT55" s="692"/>
      <c r="GU55" s="692"/>
      <c r="GV55" s="692"/>
      <c r="GW55" s="692"/>
      <c r="GX55" s="692"/>
      <c r="GY55" s="692"/>
      <c r="GZ55" s="692"/>
      <c r="HA55" s="692"/>
      <c r="HB55" s="692"/>
      <c r="HC55" s="692"/>
      <c r="HD55" s="692"/>
      <c r="HE55" s="692"/>
      <c r="HF55" s="692"/>
      <c r="HG55" s="692"/>
      <c r="HH55" s="692"/>
      <c r="HI55" s="692"/>
      <c r="HJ55" s="692"/>
      <c r="HK55" s="692"/>
      <c r="HL55" s="692"/>
      <c r="HM55" s="692"/>
      <c r="HN55" s="692"/>
      <c r="HO55" s="692"/>
      <c r="HP55" s="692"/>
      <c r="HQ55" s="692"/>
      <c r="HR55" s="692"/>
      <c r="HS55" s="692"/>
      <c r="HT55" s="692"/>
      <c r="HU55" s="692"/>
      <c r="HV55" s="692"/>
      <c r="HW55" s="692"/>
      <c r="HX55" s="692"/>
      <c r="HY55" s="692"/>
      <c r="HZ55" s="692"/>
      <c r="IA55" s="692"/>
      <c r="IB55" s="692"/>
      <c r="IC55" s="692"/>
      <c r="ID55" s="692"/>
      <c r="IE55" s="692"/>
      <c r="IF55" s="692"/>
      <c r="IG55" s="692"/>
      <c r="IH55" s="692"/>
      <c r="II55" s="692"/>
      <c r="IJ55" s="692"/>
      <c r="IK55" s="692"/>
      <c r="IL55" s="692"/>
      <c r="IM55" s="692"/>
      <c r="IN55" s="692"/>
      <c r="IO55" s="692"/>
      <c r="IP55" s="692"/>
      <c r="IQ55" s="692"/>
      <c r="IR55" s="692"/>
      <c r="IS55" s="692"/>
      <c r="IT55" s="692"/>
    </row>
    <row r="56" spans="1:254" s="723" customFormat="1" x14ac:dyDescent="0.2">
      <c r="W56" s="692"/>
      <c r="X56" s="692"/>
      <c r="Y56" s="692"/>
      <c r="Z56" s="692"/>
      <c r="AA56" s="692"/>
      <c r="AB56" s="692"/>
      <c r="AC56" s="692"/>
      <c r="AD56" s="692"/>
      <c r="AE56" s="692"/>
      <c r="AF56" s="692"/>
      <c r="AG56" s="692"/>
      <c r="AH56" s="692"/>
      <c r="AI56" s="692"/>
      <c r="AJ56" s="692"/>
      <c r="AK56" s="692"/>
      <c r="AL56" s="692"/>
      <c r="AM56" s="692"/>
      <c r="AN56" s="692"/>
      <c r="AO56" s="692"/>
      <c r="AP56" s="692"/>
      <c r="AQ56" s="692"/>
      <c r="AR56" s="692"/>
      <c r="AS56" s="692"/>
      <c r="AT56" s="692"/>
      <c r="AU56" s="692"/>
      <c r="AV56" s="692"/>
      <c r="AW56" s="692"/>
      <c r="AX56" s="692"/>
      <c r="AY56" s="692"/>
      <c r="AZ56" s="692"/>
      <c r="BA56" s="692"/>
      <c r="BB56" s="692"/>
      <c r="BC56" s="692"/>
      <c r="BD56" s="692"/>
      <c r="BE56" s="692"/>
      <c r="BF56" s="692"/>
      <c r="BG56" s="692"/>
      <c r="BH56" s="692"/>
      <c r="BI56" s="692"/>
      <c r="BJ56" s="692"/>
      <c r="BK56" s="692"/>
      <c r="BL56" s="692"/>
      <c r="BM56" s="692"/>
      <c r="BN56" s="692"/>
      <c r="BO56" s="692"/>
      <c r="BP56" s="692"/>
      <c r="BQ56" s="692"/>
      <c r="BR56" s="692"/>
      <c r="BS56" s="692"/>
      <c r="BT56" s="692"/>
      <c r="BU56" s="692"/>
      <c r="BV56" s="692"/>
      <c r="BW56" s="692"/>
      <c r="BX56" s="692"/>
      <c r="BY56" s="692"/>
      <c r="BZ56" s="692"/>
      <c r="CA56" s="692"/>
      <c r="CB56" s="692"/>
      <c r="CC56" s="692"/>
      <c r="CD56" s="692"/>
      <c r="CE56" s="692"/>
      <c r="CF56" s="692"/>
      <c r="CG56" s="692"/>
      <c r="CH56" s="692"/>
      <c r="CI56" s="692"/>
      <c r="CJ56" s="692"/>
      <c r="CK56" s="692"/>
      <c r="CL56" s="692"/>
      <c r="CM56" s="692"/>
      <c r="CN56" s="692"/>
      <c r="CO56" s="692"/>
      <c r="CP56" s="692"/>
      <c r="CQ56" s="692"/>
      <c r="CR56" s="692"/>
      <c r="CS56" s="692"/>
      <c r="CT56" s="692"/>
      <c r="CU56" s="692"/>
      <c r="CV56" s="692"/>
      <c r="CW56" s="692"/>
      <c r="CX56" s="692"/>
      <c r="CY56" s="692"/>
      <c r="CZ56" s="692"/>
      <c r="DA56" s="692"/>
      <c r="DB56" s="692"/>
      <c r="DC56" s="692"/>
      <c r="DD56" s="692"/>
      <c r="DE56" s="692"/>
      <c r="DF56" s="692"/>
      <c r="DG56" s="692"/>
      <c r="DH56" s="692"/>
      <c r="DI56" s="692"/>
      <c r="DJ56" s="692"/>
      <c r="DK56" s="692"/>
      <c r="DL56" s="692"/>
      <c r="DM56" s="692"/>
      <c r="DN56" s="692"/>
      <c r="DO56" s="692"/>
      <c r="DP56" s="692"/>
      <c r="DQ56" s="692"/>
      <c r="DR56" s="692"/>
      <c r="DS56" s="692"/>
      <c r="DT56" s="692"/>
      <c r="DU56" s="692"/>
      <c r="DV56" s="692"/>
      <c r="DW56" s="692"/>
      <c r="DX56" s="692"/>
      <c r="DY56" s="692"/>
      <c r="DZ56" s="692"/>
      <c r="EA56" s="692"/>
      <c r="EB56" s="692"/>
      <c r="EC56" s="692"/>
      <c r="ED56" s="692"/>
      <c r="EE56" s="692"/>
      <c r="EF56" s="692"/>
      <c r="EG56" s="692"/>
      <c r="EH56" s="692"/>
      <c r="EI56" s="692"/>
      <c r="EJ56" s="692"/>
      <c r="EK56" s="692"/>
      <c r="EL56" s="692"/>
      <c r="EM56" s="692"/>
      <c r="EN56" s="692"/>
      <c r="EO56" s="692"/>
      <c r="EP56" s="692"/>
      <c r="EQ56" s="692"/>
      <c r="ER56" s="692"/>
      <c r="ES56" s="692"/>
      <c r="ET56" s="692"/>
      <c r="EU56" s="692"/>
      <c r="EV56" s="692"/>
      <c r="EW56" s="692"/>
      <c r="EX56" s="692"/>
      <c r="EY56" s="692"/>
      <c r="EZ56" s="692"/>
      <c r="FA56" s="692"/>
      <c r="FB56" s="692"/>
      <c r="FC56" s="692"/>
      <c r="FD56" s="692"/>
      <c r="FE56" s="692"/>
      <c r="FF56" s="692"/>
      <c r="FG56" s="692"/>
      <c r="FH56" s="692"/>
      <c r="FI56" s="692"/>
      <c r="FJ56" s="692"/>
      <c r="FK56" s="692"/>
      <c r="FL56" s="692"/>
      <c r="FM56" s="692"/>
      <c r="FN56" s="692"/>
      <c r="FO56" s="692"/>
      <c r="FP56" s="692"/>
      <c r="FQ56" s="692"/>
      <c r="FR56" s="692"/>
      <c r="FS56" s="692"/>
      <c r="FT56" s="692"/>
      <c r="FU56" s="692"/>
      <c r="FV56" s="692"/>
      <c r="FW56" s="692"/>
      <c r="FX56" s="692"/>
      <c r="FY56" s="692"/>
      <c r="FZ56" s="692"/>
      <c r="GA56" s="692"/>
      <c r="GB56" s="692"/>
      <c r="GC56" s="692"/>
      <c r="GD56" s="692"/>
      <c r="GE56" s="692"/>
      <c r="GF56" s="692"/>
      <c r="GG56" s="692"/>
      <c r="GH56" s="692"/>
      <c r="GI56" s="692"/>
      <c r="GJ56" s="692"/>
      <c r="GK56" s="692"/>
      <c r="GL56" s="692"/>
      <c r="GM56" s="692"/>
      <c r="GN56" s="692"/>
      <c r="GO56" s="692"/>
      <c r="GP56" s="692"/>
      <c r="GQ56" s="692"/>
      <c r="GR56" s="692"/>
      <c r="GS56" s="692"/>
      <c r="GT56" s="692"/>
      <c r="GU56" s="692"/>
      <c r="GV56" s="692"/>
      <c r="GW56" s="692"/>
      <c r="GX56" s="692"/>
      <c r="GY56" s="692"/>
      <c r="GZ56" s="692"/>
      <c r="HA56" s="692"/>
      <c r="HB56" s="692"/>
      <c r="HC56" s="692"/>
      <c r="HD56" s="692"/>
      <c r="HE56" s="692"/>
      <c r="HF56" s="692"/>
      <c r="HG56" s="692"/>
      <c r="HH56" s="692"/>
      <c r="HI56" s="692"/>
      <c r="HJ56" s="692"/>
      <c r="HK56" s="692"/>
      <c r="HL56" s="692"/>
      <c r="HM56" s="692"/>
      <c r="HN56" s="692"/>
      <c r="HO56" s="692"/>
      <c r="HP56" s="692"/>
      <c r="HQ56" s="692"/>
      <c r="HR56" s="692"/>
      <c r="HS56" s="692"/>
      <c r="HT56" s="692"/>
      <c r="HU56" s="692"/>
      <c r="HV56" s="692"/>
      <c r="HW56" s="692"/>
      <c r="HX56" s="692"/>
      <c r="HY56" s="692"/>
      <c r="HZ56" s="692"/>
      <c r="IA56" s="692"/>
      <c r="IB56" s="692"/>
      <c r="IC56" s="692"/>
      <c r="ID56" s="692"/>
      <c r="IE56" s="692"/>
      <c r="IF56" s="692"/>
      <c r="IG56" s="692"/>
      <c r="IH56" s="692"/>
      <c r="II56" s="692"/>
      <c r="IJ56" s="692"/>
      <c r="IK56" s="692"/>
      <c r="IL56" s="692"/>
      <c r="IM56" s="692"/>
      <c r="IN56" s="692"/>
      <c r="IO56" s="692"/>
      <c r="IP56" s="692"/>
      <c r="IQ56" s="692"/>
      <c r="IR56" s="692"/>
      <c r="IS56" s="692"/>
      <c r="IT56" s="692"/>
    </row>
    <row r="57" spans="1:254" s="723" customFormat="1" x14ac:dyDescent="0.2">
      <c r="W57" s="692"/>
      <c r="X57" s="692"/>
      <c r="Y57" s="692"/>
      <c r="Z57" s="692"/>
      <c r="AA57" s="692"/>
      <c r="AB57" s="692"/>
      <c r="AC57" s="692"/>
      <c r="AD57" s="692"/>
      <c r="AE57" s="692"/>
      <c r="AF57" s="692"/>
      <c r="AG57" s="692"/>
      <c r="AH57" s="692"/>
      <c r="AI57" s="692"/>
      <c r="AJ57" s="692"/>
      <c r="AK57" s="692"/>
      <c r="AL57" s="692"/>
      <c r="AM57" s="692"/>
      <c r="AN57" s="692"/>
      <c r="AO57" s="692"/>
      <c r="AP57" s="692"/>
      <c r="AQ57" s="692"/>
      <c r="AR57" s="692"/>
      <c r="AS57" s="692"/>
      <c r="AT57" s="692"/>
      <c r="AU57" s="692"/>
      <c r="AV57" s="692"/>
      <c r="AW57" s="692"/>
      <c r="AX57" s="692"/>
      <c r="AY57" s="692"/>
      <c r="AZ57" s="692"/>
      <c r="BA57" s="692"/>
      <c r="BB57" s="692"/>
      <c r="BC57" s="692"/>
      <c r="BD57" s="692"/>
      <c r="BE57" s="692"/>
      <c r="BF57" s="692"/>
      <c r="BG57" s="692"/>
      <c r="BH57" s="692"/>
      <c r="BI57" s="692"/>
      <c r="BJ57" s="692"/>
      <c r="BK57" s="692"/>
      <c r="BL57" s="692"/>
      <c r="BM57" s="692"/>
      <c r="BN57" s="692"/>
      <c r="BO57" s="692"/>
      <c r="BP57" s="692"/>
      <c r="BQ57" s="692"/>
      <c r="BR57" s="692"/>
      <c r="BS57" s="692"/>
      <c r="BT57" s="692"/>
      <c r="BU57" s="692"/>
      <c r="BV57" s="692"/>
      <c r="BW57" s="692"/>
      <c r="BX57" s="692"/>
      <c r="BY57" s="692"/>
      <c r="BZ57" s="692"/>
      <c r="CA57" s="692"/>
      <c r="CB57" s="692"/>
      <c r="CC57" s="692"/>
      <c r="CD57" s="692"/>
      <c r="CE57" s="692"/>
      <c r="CF57" s="692"/>
      <c r="CG57" s="692"/>
      <c r="CH57" s="692"/>
      <c r="CI57" s="692"/>
      <c r="CJ57" s="692"/>
      <c r="CK57" s="692"/>
      <c r="CL57" s="692"/>
      <c r="CM57" s="692"/>
      <c r="CN57" s="692"/>
      <c r="CO57" s="692"/>
      <c r="CP57" s="692"/>
      <c r="CQ57" s="692"/>
      <c r="CR57" s="692"/>
      <c r="CS57" s="692"/>
      <c r="CT57" s="692"/>
      <c r="CU57" s="692"/>
      <c r="CV57" s="692"/>
      <c r="CW57" s="692"/>
      <c r="CX57" s="692"/>
      <c r="CY57" s="692"/>
      <c r="CZ57" s="692"/>
      <c r="DA57" s="692"/>
      <c r="DB57" s="692"/>
      <c r="DC57" s="692"/>
      <c r="DD57" s="692"/>
      <c r="DE57" s="692"/>
      <c r="DF57" s="692"/>
      <c r="DG57" s="692"/>
      <c r="DH57" s="692"/>
      <c r="DI57" s="692"/>
      <c r="DJ57" s="692"/>
      <c r="DK57" s="692"/>
      <c r="DL57" s="692"/>
      <c r="DM57" s="692"/>
      <c r="DN57" s="692"/>
      <c r="DO57" s="692"/>
      <c r="DP57" s="692"/>
      <c r="DQ57" s="692"/>
      <c r="DR57" s="692"/>
      <c r="DS57" s="692"/>
      <c r="DT57" s="692"/>
      <c r="DU57" s="692"/>
      <c r="DV57" s="692"/>
      <c r="DW57" s="692"/>
      <c r="DX57" s="692"/>
      <c r="DY57" s="692"/>
      <c r="DZ57" s="692"/>
      <c r="EA57" s="692"/>
      <c r="EB57" s="692"/>
      <c r="EC57" s="692"/>
      <c r="ED57" s="692"/>
      <c r="EE57" s="692"/>
      <c r="EF57" s="692"/>
      <c r="EG57" s="692"/>
      <c r="EH57" s="692"/>
      <c r="EI57" s="692"/>
      <c r="EJ57" s="692"/>
      <c r="EK57" s="692"/>
      <c r="EL57" s="692"/>
      <c r="EM57" s="692"/>
      <c r="EN57" s="692"/>
      <c r="EO57" s="692"/>
      <c r="EP57" s="692"/>
      <c r="EQ57" s="692"/>
      <c r="ER57" s="692"/>
      <c r="ES57" s="692"/>
      <c r="ET57" s="692"/>
      <c r="EU57" s="692"/>
      <c r="EV57" s="692"/>
      <c r="EW57" s="692"/>
      <c r="EX57" s="692"/>
      <c r="EY57" s="692"/>
      <c r="EZ57" s="692"/>
      <c r="FA57" s="692"/>
      <c r="FB57" s="692"/>
      <c r="FC57" s="692"/>
      <c r="FD57" s="692"/>
      <c r="FE57" s="692"/>
      <c r="FF57" s="692"/>
      <c r="FG57" s="692"/>
      <c r="FH57" s="692"/>
      <c r="FI57" s="692"/>
      <c r="FJ57" s="692"/>
      <c r="FK57" s="692"/>
      <c r="FL57" s="692"/>
      <c r="FM57" s="692"/>
      <c r="FN57" s="692"/>
      <c r="FO57" s="692"/>
      <c r="FP57" s="692"/>
      <c r="FQ57" s="692"/>
      <c r="FR57" s="692"/>
      <c r="FS57" s="692"/>
      <c r="FT57" s="692"/>
      <c r="FU57" s="692"/>
      <c r="FV57" s="692"/>
      <c r="FW57" s="692"/>
      <c r="FX57" s="692"/>
      <c r="FY57" s="692"/>
      <c r="FZ57" s="692"/>
      <c r="GA57" s="692"/>
      <c r="GB57" s="692"/>
      <c r="GC57" s="692"/>
      <c r="GD57" s="692"/>
      <c r="GE57" s="692"/>
      <c r="GF57" s="692"/>
      <c r="GG57" s="692"/>
      <c r="GH57" s="692"/>
      <c r="GI57" s="692"/>
      <c r="GJ57" s="692"/>
      <c r="GK57" s="692"/>
      <c r="GL57" s="692"/>
      <c r="GM57" s="692"/>
      <c r="GN57" s="692"/>
      <c r="GO57" s="692"/>
      <c r="GP57" s="692"/>
      <c r="GQ57" s="692"/>
      <c r="GR57" s="692"/>
      <c r="GS57" s="692"/>
      <c r="GT57" s="692"/>
      <c r="GU57" s="692"/>
      <c r="GV57" s="692"/>
      <c r="GW57" s="692"/>
      <c r="GX57" s="692"/>
      <c r="GY57" s="692"/>
      <c r="GZ57" s="692"/>
      <c r="HA57" s="692"/>
      <c r="HB57" s="692"/>
      <c r="HC57" s="692"/>
      <c r="HD57" s="692"/>
      <c r="HE57" s="692"/>
      <c r="HF57" s="692"/>
      <c r="HG57" s="692"/>
      <c r="HH57" s="692"/>
      <c r="HI57" s="692"/>
      <c r="HJ57" s="692"/>
      <c r="HK57" s="692"/>
      <c r="HL57" s="692"/>
      <c r="HM57" s="692"/>
      <c r="HN57" s="692"/>
      <c r="HO57" s="692"/>
      <c r="HP57" s="692"/>
      <c r="HQ57" s="692"/>
      <c r="HR57" s="692"/>
      <c r="HS57" s="692"/>
      <c r="HT57" s="692"/>
      <c r="HU57" s="692"/>
      <c r="HV57" s="692"/>
      <c r="HW57" s="692"/>
      <c r="HX57" s="692"/>
      <c r="HY57" s="692"/>
      <c r="HZ57" s="692"/>
      <c r="IA57" s="692"/>
      <c r="IB57" s="692"/>
      <c r="IC57" s="692"/>
      <c r="ID57" s="692"/>
      <c r="IE57" s="692"/>
      <c r="IF57" s="692"/>
      <c r="IG57" s="692"/>
      <c r="IH57" s="692"/>
      <c r="II57" s="692"/>
      <c r="IJ57" s="692"/>
      <c r="IK57" s="692"/>
      <c r="IL57" s="692"/>
      <c r="IM57" s="692"/>
      <c r="IN57" s="692"/>
      <c r="IO57" s="692"/>
      <c r="IP57" s="692"/>
      <c r="IQ57" s="692"/>
      <c r="IR57" s="692"/>
      <c r="IS57" s="692"/>
      <c r="IT57" s="692"/>
    </row>
    <row r="58" spans="1:254" s="723" customFormat="1" x14ac:dyDescent="0.2">
      <c r="W58" s="692"/>
      <c r="X58" s="692"/>
      <c r="Y58" s="692"/>
      <c r="Z58" s="692"/>
      <c r="AA58" s="692"/>
      <c r="AB58" s="692"/>
      <c r="AC58" s="692"/>
      <c r="AD58" s="692"/>
      <c r="AE58" s="692"/>
      <c r="AF58" s="692"/>
      <c r="AG58" s="692"/>
      <c r="AH58" s="692"/>
      <c r="AI58" s="692"/>
      <c r="AJ58" s="692"/>
      <c r="AK58" s="692"/>
      <c r="AL58" s="692"/>
      <c r="AM58" s="692"/>
      <c r="AN58" s="692"/>
      <c r="AO58" s="692"/>
      <c r="AP58" s="692"/>
      <c r="AQ58" s="692"/>
      <c r="AR58" s="692"/>
      <c r="AS58" s="692"/>
      <c r="AT58" s="692"/>
      <c r="AU58" s="692"/>
      <c r="AV58" s="692"/>
      <c r="AW58" s="692"/>
      <c r="AX58" s="692"/>
      <c r="AY58" s="692"/>
      <c r="AZ58" s="692"/>
      <c r="BA58" s="692"/>
      <c r="BB58" s="692"/>
      <c r="BC58" s="692"/>
      <c r="BD58" s="692"/>
      <c r="BE58" s="692"/>
      <c r="BF58" s="692"/>
      <c r="BG58" s="692"/>
      <c r="BH58" s="692"/>
      <c r="BI58" s="692"/>
      <c r="BJ58" s="692"/>
      <c r="BK58" s="692"/>
      <c r="BL58" s="692"/>
      <c r="BM58" s="692"/>
      <c r="BN58" s="692"/>
      <c r="BO58" s="692"/>
      <c r="BP58" s="692"/>
      <c r="BQ58" s="692"/>
      <c r="BR58" s="692"/>
      <c r="BS58" s="692"/>
      <c r="BT58" s="692"/>
      <c r="BU58" s="692"/>
      <c r="BV58" s="692"/>
      <c r="BW58" s="692"/>
      <c r="BX58" s="692"/>
      <c r="BY58" s="692"/>
      <c r="BZ58" s="692"/>
      <c r="CA58" s="692"/>
      <c r="CB58" s="692"/>
      <c r="CC58" s="692"/>
      <c r="CD58" s="692"/>
      <c r="CE58" s="692"/>
      <c r="CF58" s="692"/>
      <c r="CG58" s="692"/>
      <c r="CH58" s="692"/>
      <c r="CI58" s="692"/>
      <c r="CJ58" s="692"/>
      <c r="CK58" s="692"/>
      <c r="CL58" s="692"/>
      <c r="CM58" s="692"/>
      <c r="CN58" s="692"/>
      <c r="CO58" s="692"/>
      <c r="CP58" s="692"/>
      <c r="CQ58" s="692"/>
      <c r="CR58" s="692"/>
      <c r="CS58" s="692"/>
      <c r="CT58" s="692"/>
      <c r="CU58" s="692"/>
      <c r="CV58" s="692"/>
      <c r="CW58" s="692"/>
      <c r="CX58" s="692"/>
      <c r="CY58" s="692"/>
      <c r="CZ58" s="692"/>
      <c r="DA58" s="692"/>
      <c r="DB58" s="692"/>
      <c r="DC58" s="692"/>
      <c r="DD58" s="692"/>
      <c r="DE58" s="692"/>
      <c r="DF58" s="692"/>
      <c r="DG58" s="692"/>
      <c r="DH58" s="692"/>
      <c r="DI58" s="692"/>
      <c r="DJ58" s="692"/>
      <c r="DK58" s="692"/>
      <c r="DL58" s="692"/>
      <c r="DM58" s="692"/>
      <c r="DN58" s="692"/>
      <c r="DO58" s="692"/>
      <c r="DP58" s="692"/>
      <c r="DQ58" s="692"/>
      <c r="DR58" s="692"/>
      <c r="DS58" s="692"/>
      <c r="DT58" s="692"/>
      <c r="DU58" s="692"/>
      <c r="DV58" s="692"/>
      <c r="DW58" s="692"/>
      <c r="DX58" s="692"/>
      <c r="DY58" s="692"/>
      <c r="DZ58" s="692"/>
      <c r="EA58" s="692"/>
      <c r="EB58" s="692"/>
      <c r="EC58" s="692"/>
      <c r="ED58" s="692"/>
      <c r="EE58" s="692"/>
      <c r="EF58" s="692"/>
      <c r="EG58" s="692"/>
      <c r="EH58" s="692"/>
      <c r="EI58" s="692"/>
      <c r="EJ58" s="692"/>
      <c r="EK58" s="692"/>
      <c r="EL58" s="692"/>
      <c r="EM58" s="692"/>
      <c r="EN58" s="692"/>
      <c r="EO58" s="692"/>
      <c r="EP58" s="692"/>
      <c r="EQ58" s="692"/>
      <c r="ER58" s="692"/>
      <c r="ES58" s="692"/>
      <c r="ET58" s="692"/>
      <c r="EU58" s="692"/>
      <c r="EV58" s="692"/>
      <c r="EW58" s="692"/>
      <c r="EX58" s="692"/>
      <c r="EY58" s="692"/>
      <c r="EZ58" s="692"/>
      <c r="FA58" s="692"/>
      <c r="FB58" s="692"/>
      <c r="FC58" s="692"/>
      <c r="FD58" s="692"/>
      <c r="FE58" s="692"/>
      <c r="FF58" s="692"/>
      <c r="FG58" s="692"/>
      <c r="FH58" s="692"/>
      <c r="FI58" s="692"/>
      <c r="FJ58" s="692"/>
      <c r="FK58" s="692"/>
      <c r="FL58" s="692"/>
      <c r="FM58" s="692"/>
      <c r="FN58" s="692"/>
      <c r="FO58" s="692"/>
      <c r="FP58" s="692"/>
      <c r="FQ58" s="692"/>
      <c r="FR58" s="692"/>
      <c r="FS58" s="692"/>
      <c r="FT58" s="692"/>
      <c r="FU58" s="692"/>
      <c r="FV58" s="692"/>
      <c r="FW58" s="692"/>
      <c r="FX58" s="692"/>
      <c r="FY58" s="692"/>
      <c r="FZ58" s="692"/>
      <c r="GA58" s="692"/>
      <c r="GB58" s="692"/>
      <c r="GC58" s="692"/>
      <c r="GD58" s="692"/>
      <c r="GE58" s="692"/>
      <c r="GF58" s="692"/>
      <c r="GG58" s="692"/>
      <c r="GH58" s="692"/>
      <c r="GI58" s="692"/>
      <c r="GJ58" s="692"/>
      <c r="GK58" s="692"/>
      <c r="GL58" s="692"/>
      <c r="GM58" s="692"/>
      <c r="GN58" s="692"/>
      <c r="GO58" s="692"/>
      <c r="GP58" s="692"/>
      <c r="GQ58" s="692"/>
      <c r="GR58" s="692"/>
      <c r="GS58" s="692"/>
      <c r="GT58" s="692"/>
      <c r="GU58" s="692"/>
      <c r="GV58" s="692"/>
      <c r="GW58" s="692"/>
      <c r="GX58" s="692"/>
      <c r="GY58" s="692"/>
      <c r="GZ58" s="692"/>
      <c r="HA58" s="692"/>
      <c r="HB58" s="692"/>
      <c r="HC58" s="692"/>
      <c r="HD58" s="692"/>
      <c r="HE58" s="692"/>
      <c r="HF58" s="692"/>
      <c r="HG58" s="692"/>
      <c r="HH58" s="692"/>
      <c r="HI58" s="692"/>
      <c r="HJ58" s="692"/>
      <c r="HK58" s="692"/>
      <c r="HL58" s="692"/>
      <c r="HM58" s="692"/>
      <c r="HN58" s="692"/>
      <c r="HO58" s="692"/>
      <c r="HP58" s="692"/>
      <c r="HQ58" s="692"/>
      <c r="HR58" s="692"/>
      <c r="HS58" s="692"/>
      <c r="HT58" s="692"/>
      <c r="HU58" s="692"/>
      <c r="HV58" s="692"/>
      <c r="HW58" s="692"/>
      <c r="HX58" s="692"/>
      <c r="HY58" s="692"/>
      <c r="HZ58" s="692"/>
      <c r="IA58" s="692"/>
      <c r="IB58" s="692"/>
      <c r="IC58" s="692"/>
      <c r="ID58" s="692"/>
      <c r="IE58" s="692"/>
      <c r="IF58" s="692"/>
      <c r="IG58" s="692"/>
      <c r="IH58" s="692"/>
      <c r="II58" s="692"/>
      <c r="IJ58" s="692"/>
      <c r="IK58" s="692"/>
      <c r="IL58" s="692"/>
      <c r="IM58" s="692"/>
      <c r="IN58" s="692"/>
      <c r="IO58" s="692"/>
      <c r="IP58" s="692"/>
      <c r="IQ58" s="692"/>
      <c r="IR58" s="692"/>
      <c r="IS58" s="692"/>
      <c r="IT58" s="692"/>
    </row>
    <row r="59" spans="1:254" s="723" customFormat="1" x14ac:dyDescent="0.2">
      <c r="W59" s="692"/>
      <c r="X59" s="692"/>
      <c r="Y59" s="692"/>
      <c r="Z59" s="692"/>
      <c r="AA59" s="692"/>
      <c r="AB59" s="692"/>
      <c r="AC59" s="692"/>
      <c r="AD59" s="692"/>
      <c r="AE59" s="692"/>
      <c r="AF59" s="692"/>
      <c r="AG59" s="692"/>
      <c r="AH59" s="692"/>
      <c r="AI59" s="692"/>
      <c r="AJ59" s="692"/>
      <c r="AK59" s="692"/>
      <c r="AL59" s="692"/>
      <c r="AM59" s="692"/>
      <c r="AN59" s="692"/>
      <c r="AO59" s="692"/>
      <c r="AP59" s="692"/>
      <c r="AQ59" s="692"/>
      <c r="AR59" s="692"/>
      <c r="AS59" s="692"/>
      <c r="AT59" s="692"/>
      <c r="AU59" s="692"/>
      <c r="AV59" s="692"/>
      <c r="AW59" s="692"/>
      <c r="AX59" s="692"/>
      <c r="AY59" s="692"/>
      <c r="AZ59" s="692"/>
      <c r="BA59" s="692"/>
      <c r="BB59" s="692"/>
      <c r="BC59" s="692"/>
      <c r="BD59" s="692"/>
      <c r="BE59" s="692"/>
      <c r="BF59" s="692"/>
      <c r="BG59" s="692"/>
      <c r="BH59" s="692"/>
      <c r="BI59" s="692"/>
      <c r="BJ59" s="692"/>
      <c r="BK59" s="692"/>
      <c r="BL59" s="692"/>
      <c r="BM59" s="692"/>
      <c r="BN59" s="692"/>
      <c r="BO59" s="692"/>
      <c r="BP59" s="692"/>
      <c r="BQ59" s="692"/>
      <c r="BR59" s="692"/>
      <c r="BS59" s="692"/>
      <c r="BT59" s="692"/>
      <c r="BU59" s="692"/>
      <c r="BV59" s="692"/>
      <c r="BW59" s="692"/>
      <c r="BX59" s="692"/>
      <c r="BY59" s="692"/>
      <c r="BZ59" s="692"/>
      <c r="CA59" s="692"/>
      <c r="CB59" s="692"/>
      <c r="CC59" s="692"/>
      <c r="CD59" s="692"/>
      <c r="CE59" s="692"/>
      <c r="CF59" s="692"/>
      <c r="CG59" s="692"/>
      <c r="CH59" s="692"/>
      <c r="CI59" s="692"/>
      <c r="CJ59" s="692"/>
      <c r="CK59" s="692"/>
      <c r="CL59" s="692"/>
      <c r="CM59" s="692"/>
      <c r="CN59" s="692"/>
      <c r="CO59" s="692"/>
      <c r="CP59" s="692"/>
      <c r="CQ59" s="692"/>
      <c r="CR59" s="692"/>
      <c r="CS59" s="692"/>
      <c r="CT59" s="692"/>
      <c r="CU59" s="692"/>
      <c r="CV59" s="692"/>
      <c r="CW59" s="692"/>
      <c r="CX59" s="692"/>
      <c r="CY59" s="692"/>
      <c r="CZ59" s="692"/>
      <c r="DA59" s="692"/>
      <c r="DB59" s="692"/>
      <c r="DC59" s="692"/>
      <c r="DD59" s="692"/>
      <c r="DE59" s="692"/>
      <c r="DF59" s="692"/>
      <c r="DG59" s="692"/>
      <c r="DH59" s="692"/>
      <c r="DI59" s="692"/>
      <c r="DJ59" s="692"/>
      <c r="DK59" s="692"/>
      <c r="DL59" s="692"/>
      <c r="DM59" s="692"/>
      <c r="DN59" s="692"/>
      <c r="DO59" s="692"/>
      <c r="DP59" s="692"/>
      <c r="DQ59" s="692"/>
      <c r="DR59" s="692"/>
      <c r="DS59" s="692"/>
      <c r="DT59" s="692"/>
      <c r="DU59" s="692"/>
      <c r="DV59" s="692"/>
      <c r="DW59" s="692"/>
      <c r="DX59" s="692"/>
      <c r="DY59" s="692"/>
      <c r="DZ59" s="692"/>
      <c r="EA59" s="692"/>
      <c r="EB59" s="692"/>
      <c r="EC59" s="692"/>
      <c r="ED59" s="692"/>
      <c r="EE59" s="692"/>
      <c r="EF59" s="692"/>
      <c r="EG59" s="692"/>
      <c r="EH59" s="692"/>
      <c r="EI59" s="692"/>
      <c r="EJ59" s="692"/>
      <c r="EK59" s="692"/>
      <c r="EL59" s="692"/>
      <c r="EM59" s="692"/>
      <c r="EN59" s="692"/>
      <c r="EO59" s="692"/>
      <c r="EP59" s="692"/>
      <c r="EQ59" s="692"/>
      <c r="ER59" s="692"/>
      <c r="ES59" s="692"/>
      <c r="ET59" s="692"/>
      <c r="EU59" s="692"/>
      <c r="EV59" s="692"/>
      <c r="EW59" s="692"/>
      <c r="EX59" s="692"/>
      <c r="EY59" s="692"/>
      <c r="EZ59" s="692"/>
      <c r="FA59" s="692"/>
      <c r="FB59" s="692"/>
      <c r="FC59" s="692"/>
      <c r="FD59" s="692"/>
      <c r="FE59" s="692"/>
      <c r="FF59" s="692"/>
      <c r="FG59" s="692"/>
      <c r="FH59" s="692"/>
      <c r="FI59" s="692"/>
      <c r="FJ59" s="692"/>
      <c r="FK59" s="692"/>
      <c r="FL59" s="692"/>
      <c r="FM59" s="692"/>
      <c r="FN59" s="692"/>
      <c r="FO59" s="692"/>
      <c r="FP59" s="692"/>
      <c r="FQ59" s="692"/>
      <c r="FR59" s="692"/>
      <c r="FS59" s="692"/>
      <c r="FT59" s="692"/>
      <c r="FU59" s="692"/>
      <c r="FV59" s="692"/>
      <c r="FW59" s="692"/>
      <c r="FX59" s="692"/>
      <c r="FY59" s="692"/>
      <c r="FZ59" s="692"/>
      <c r="GA59" s="692"/>
      <c r="GB59" s="692"/>
      <c r="GC59" s="692"/>
      <c r="GD59" s="692"/>
      <c r="GE59" s="692"/>
      <c r="GF59" s="692"/>
      <c r="GG59" s="692"/>
      <c r="GH59" s="692"/>
      <c r="GI59" s="692"/>
      <c r="GJ59" s="692"/>
      <c r="GK59" s="692"/>
      <c r="GL59" s="692"/>
      <c r="GM59" s="692"/>
      <c r="GN59" s="692"/>
      <c r="GO59" s="692"/>
      <c r="GP59" s="692"/>
      <c r="GQ59" s="692"/>
      <c r="GR59" s="692"/>
      <c r="GS59" s="692"/>
      <c r="GT59" s="692"/>
      <c r="GU59" s="692"/>
      <c r="GV59" s="692"/>
      <c r="GW59" s="692"/>
      <c r="GX59" s="692"/>
      <c r="GY59" s="692"/>
      <c r="GZ59" s="692"/>
      <c r="HA59" s="692"/>
      <c r="HB59" s="692"/>
      <c r="HC59" s="692"/>
      <c r="HD59" s="692"/>
      <c r="HE59" s="692"/>
      <c r="HF59" s="692"/>
      <c r="HG59" s="692"/>
      <c r="HH59" s="692"/>
      <c r="HI59" s="692"/>
      <c r="HJ59" s="692"/>
      <c r="HK59" s="692"/>
      <c r="HL59" s="692"/>
      <c r="HM59" s="692"/>
      <c r="HN59" s="692"/>
      <c r="HO59" s="692"/>
      <c r="HP59" s="692"/>
      <c r="HQ59" s="692"/>
      <c r="HR59" s="692"/>
      <c r="HS59" s="692"/>
      <c r="HT59" s="692"/>
      <c r="HU59" s="692"/>
      <c r="HV59" s="692"/>
      <c r="HW59" s="692"/>
      <c r="HX59" s="692"/>
      <c r="HY59" s="692"/>
      <c r="HZ59" s="692"/>
      <c r="IA59" s="692"/>
      <c r="IB59" s="692"/>
      <c r="IC59" s="692"/>
      <c r="ID59" s="692"/>
      <c r="IE59" s="692"/>
      <c r="IF59" s="692"/>
      <c r="IG59" s="692"/>
      <c r="IH59" s="692"/>
      <c r="II59" s="692"/>
      <c r="IJ59" s="692"/>
      <c r="IK59" s="692"/>
      <c r="IL59" s="692"/>
      <c r="IM59" s="692"/>
      <c r="IN59" s="692"/>
      <c r="IO59" s="692"/>
      <c r="IP59" s="692"/>
      <c r="IQ59" s="692"/>
      <c r="IR59" s="692"/>
      <c r="IS59" s="692"/>
      <c r="IT59" s="692"/>
    </row>
    <row r="60" spans="1:254" s="723" customFormat="1" x14ac:dyDescent="0.2">
      <c r="W60" s="692"/>
      <c r="X60" s="692"/>
      <c r="Y60" s="692"/>
      <c r="Z60" s="692"/>
      <c r="AA60" s="692"/>
      <c r="AB60" s="692"/>
      <c r="AC60" s="692"/>
      <c r="AD60" s="692"/>
      <c r="AE60" s="692"/>
      <c r="AF60" s="692"/>
      <c r="AG60" s="692"/>
      <c r="AH60" s="692"/>
      <c r="AI60" s="692"/>
      <c r="AJ60" s="692"/>
      <c r="AK60" s="692"/>
      <c r="AL60" s="692"/>
      <c r="AM60" s="692"/>
      <c r="AN60" s="692"/>
      <c r="AO60" s="692"/>
      <c r="AP60" s="692"/>
      <c r="AQ60" s="692"/>
      <c r="AR60" s="692"/>
      <c r="AS60" s="692"/>
      <c r="AT60" s="692"/>
      <c r="AU60" s="692"/>
      <c r="AV60" s="692"/>
      <c r="AW60" s="692"/>
      <c r="AX60" s="692"/>
      <c r="AY60" s="692"/>
      <c r="AZ60" s="692"/>
      <c r="BA60" s="692"/>
      <c r="BB60" s="692"/>
      <c r="BC60" s="692"/>
      <c r="BD60" s="692"/>
      <c r="BE60" s="692"/>
      <c r="BF60" s="692"/>
      <c r="BG60" s="692"/>
      <c r="BH60" s="692"/>
      <c r="BI60" s="692"/>
      <c r="BJ60" s="692"/>
      <c r="BK60" s="692"/>
      <c r="BL60" s="692"/>
      <c r="BM60" s="692"/>
      <c r="BN60" s="692"/>
      <c r="BO60" s="692"/>
      <c r="BP60" s="692"/>
      <c r="BQ60" s="692"/>
      <c r="BR60" s="692"/>
      <c r="BS60" s="692"/>
      <c r="BT60" s="692"/>
      <c r="BU60" s="692"/>
      <c r="BV60" s="692"/>
      <c r="BW60" s="692"/>
      <c r="BX60" s="692"/>
      <c r="BY60" s="692"/>
      <c r="BZ60" s="692"/>
      <c r="CA60" s="692"/>
      <c r="CB60" s="692"/>
      <c r="CC60" s="692"/>
      <c r="CD60" s="692"/>
      <c r="CE60" s="692"/>
      <c r="CF60" s="692"/>
      <c r="CG60" s="692"/>
      <c r="CH60" s="692"/>
      <c r="CI60" s="692"/>
      <c r="CJ60" s="692"/>
      <c r="CK60" s="692"/>
      <c r="CL60" s="692"/>
      <c r="CM60" s="692"/>
      <c r="CN60" s="692"/>
      <c r="CO60" s="692"/>
      <c r="CP60" s="692"/>
      <c r="CQ60" s="692"/>
      <c r="CR60" s="692"/>
      <c r="CS60" s="692"/>
      <c r="CT60" s="692"/>
      <c r="CU60" s="692"/>
      <c r="CV60" s="692"/>
      <c r="CW60" s="692"/>
      <c r="CX60" s="692"/>
      <c r="CY60" s="692"/>
      <c r="CZ60" s="692"/>
      <c r="DA60" s="692"/>
      <c r="DB60" s="692"/>
      <c r="DC60" s="692"/>
      <c r="DD60" s="692"/>
      <c r="DE60" s="692"/>
      <c r="DF60" s="692"/>
      <c r="DG60" s="692"/>
      <c r="DH60" s="692"/>
      <c r="DI60" s="692"/>
      <c r="DJ60" s="692"/>
      <c r="DK60" s="692"/>
      <c r="DL60" s="692"/>
      <c r="DM60" s="692"/>
      <c r="DN60" s="692"/>
      <c r="DO60" s="692"/>
      <c r="DP60" s="692"/>
      <c r="DQ60" s="692"/>
      <c r="DR60" s="692"/>
      <c r="DS60" s="692"/>
      <c r="DT60" s="692"/>
      <c r="DU60" s="692"/>
      <c r="DV60" s="692"/>
      <c r="DW60" s="692"/>
      <c r="DX60" s="692"/>
      <c r="DY60" s="692"/>
      <c r="DZ60" s="692"/>
      <c r="EA60" s="692"/>
      <c r="EB60" s="692"/>
      <c r="EC60" s="692"/>
      <c r="ED60" s="692"/>
      <c r="EE60" s="692"/>
      <c r="EF60" s="692"/>
      <c r="EG60" s="692"/>
      <c r="EH60" s="692"/>
      <c r="EI60" s="692"/>
      <c r="EJ60" s="692"/>
      <c r="EK60" s="692"/>
      <c r="EL60" s="692"/>
      <c r="EM60" s="692"/>
      <c r="EN60" s="692"/>
      <c r="EO60" s="692"/>
      <c r="EP60" s="692"/>
      <c r="EQ60" s="692"/>
      <c r="ER60" s="692"/>
      <c r="ES60" s="692"/>
      <c r="ET60" s="692"/>
      <c r="EU60" s="692"/>
      <c r="EV60" s="692"/>
      <c r="EW60" s="692"/>
      <c r="EX60" s="692"/>
      <c r="EY60" s="692"/>
      <c r="EZ60" s="692"/>
      <c r="FA60" s="692"/>
      <c r="FB60" s="692"/>
      <c r="FC60" s="692"/>
      <c r="FD60" s="692"/>
      <c r="FE60" s="692"/>
      <c r="FF60" s="692"/>
      <c r="FG60" s="692"/>
      <c r="FH60" s="692"/>
      <c r="FI60" s="692"/>
      <c r="FJ60" s="692"/>
      <c r="FK60" s="692"/>
      <c r="FL60" s="692"/>
      <c r="FM60" s="692"/>
      <c r="FN60" s="692"/>
      <c r="FO60" s="692"/>
      <c r="FP60" s="692"/>
      <c r="FQ60" s="692"/>
      <c r="FR60" s="692"/>
      <c r="FS60" s="692"/>
      <c r="FT60" s="692"/>
      <c r="FU60" s="692"/>
      <c r="FV60" s="692"/>
      <c r="FW60" s="692"/>
      <c r="FX60" s="692"/>
      <c r="FY60" s="692"/>
      <c r="FZ60" s="692"/>
      <c r="GA60" s="692"/>
      <c r="GB60" s="692"/>
      <c r="GC60" s="692"/>
      <c r="GD60" s="692"/>
      <c r="GE60" s="692"/>
      <c r="GF60" s="692"/>
      <c r="GG60" s="692"/>
      <c r="GH60" s="692"/>
      <c r="GI60" s="692"/>
      <c r="GJ60" s="692"/>
      <c r="GK60" s="692"/>
      <c r="GL60" s="692"/>
      <c r="GM60" s="692"/>
      <c r="GN60" s="692"/>
      <c r="GO60" s="692"/>
      <c r="GP60" s="692"/>
      <c r="GQ60" s="692"/>
      <c r="GR60" s="692"/>
      <c r="GS60" s="692"/>
      <c r="GT60" s="692"/>
      <c r="GU60" s="692"/>
      <c r="GV60" s="692"/>
      <c r="GW60" s="692"/>
      <c r="GX60" s="692"/>
      <c r="GY60" s="692"/>
      <c r="GZ60" s="692"/>
      <c r="HA60" s="692"/>
      <c r="HB60" s="692"/>
      <c r="HC60" s="692"/>
      <c r="HD60" s="692"/>
      <c r="HE60" s="692"/>
      <c r="HF60" s="692"/>
      <c r="HG60" s="692"/>
      <c r="HH60" s="692"/>
      <c r="HI60" s="692"/>
      <c r="HJ60" s="692"/>
      <c r="HK60" s="692"/>
      <c r="HL60" s="692"/>
      <c r="HM60" s="692"/>
      <c r="HN60" s="692"/>
      <c r="HO60" s="692"/>
      <c r="HP60" s="692"/>
      <c r="HQ60" s="692"/>
      <c r="HR60" s="692"/>
      <c r="HS60" s="692"/>
      <c r="HT60" s="692"/>
      <c r="HU60" s="692"/>
      <c r="HV60" s="692"/>
      <c r="HW60" s="692"/>
      <c r="HX60" s="692"/>
      <c r="HY60" s="692"/>
      <c r="HZ60" s="692"/>
      <c r="IA60" s="692"/>
      <c r="IB60" s="692"/>
      <c r="IC60" s="692"/>
      <c r="ID60" s="692"/>
      <c r="IE60" s="692"/>
      <c r="IF60" s="692"/>
      <c r="IG60" s="692"/>
      <c r="IH60" s="692"/>
      <c r="II60" s="692"/>
      <c r="IJ60" s="692"/>
      <c r="IK60" s="692"/>
      <c r="IL60" s="692"/>
      <c r="IM60" s="692"/>
      <c r="IN60" s="692"/>
      <c r="IO60" s="692"/>
      <c r="IP60" s="692"/>
      <c r="IQ60" s="692"/>
      <c r="IR60" s="692"/>
      <c r="IS60" s="692"/>
      <c r="IT60" s="692"/>
    </row>
    <row r="61" spans="1:254" s="723" customFormat="1" x14ac:dyDescent="0.2">
      <c r="W61" s="692"/>
      <c r="X61" s="692"/>
      <c r="Y61" s="692"/>
      <c r="Z61" s="692"/>
      <c r="AA61" s="692"/>
      <c r="AB61" s="692"/>
      <c r="AC61" s="692"/>
      <c r="AD61" s="692"/>
      <c r="AE61" s="692"/>
      <c r="AF61" s="692"/>
      <c r="AG61" s="692"/>
      <c r="AH61" s="692"/>
      <c r="AI61" s="692"/>
      <c r="AJ61" s="692"/>
      <c r="AK61" s="692"/>
      <c r="AL61" s="692"/>
      <c r="AM61" s="692"/>
      <c r="AN61" s="692"/>
      <c r="AO61" s="692"/>
      <c r="AP61" s="692"/>
      <c r="AQ61" s="692"/>
      <c r="AR61" s="692"/>
      <c r="AS61" s="692"/>
      <c r="AT61" s="692"/>
      <c r="AU61" s="692"/>
      <c r="AV61" s="692"/>
      <c r="AW61" s="692"/>
      <c r="AX61" s="692"/>
      <c r="AY61" s="692"/>
      <c r="AZ61" s="692"/>
      <c r="BA61" s="692"/>
      <c r="BB61" s="692"/>
      <c r="BC61" s="692"/>
      <c r="BD61" s="692"/>
      <c r="BE61" s="692"/>
      <c r="BF61" s="692"/>
      <c r="BG61" s="692"/>
      <c r="BH61" s="692"/>
      <c r="BI61" s="692"/>
      <c r="BJ61" s="692"/>
      <c r="BK61" s="692"/>
      <c r="BL61" s="692"/>
      <c r="BM61" s="692"/>
      <c r="BN61" s="692"/>
      <c r="BO61" s="692"/>
      <c r="BP61" s="692"/>
      <c r="BQ61" s="692"/>
      <c r="BR61" s="692"/>
      <c r="BS61" s="692"/>
      <c r="BT61" s="692"/>
      <c r="BU61" s="692"/>
      <c r="BV61" s="692"/>
      <c r="BW61" s="692"/>
      <c r="BX61" s="692"/>
      <c r="BY61" s="692"/>
      <c r="BZ61" s="692"/>
      <c r="CA61" s="692"/>
      <c r="CB61" s="692"/>
      <c r="CC61" s="692"/>
      <c r="CD61" s="692"/>
      <c r="CE61" s="692"/>
      <c r="CF61" s="692"/>
      <c r="CG61" s="692"/>
      <c r="CH61" s="692"/>
      <c r="CI61" s="692"/>
      <c r="CJ61" s="692"/>
      <c r="CK61" s="692"/>
      <c r="CL61" s="692"/>
      <c r="CM61" s="692"/>
      <c r="CN61" s="692"/>
      <c r="CO61" s="692"/>
      <c r="CP61" s="692"/>
      <c r="CQ61" s="692"/>
      <c r="CR61" s="692"/>
      <c r="CS61" s="692"/>
      <c r="CT61" s="692"/>
      <c r="CU61" s="692"/>
      <c r="CV61" s="692"/>
      <c r="CW61" s="692"/>
      <c r="CX61" s="692"/>
      <c r="CY61" s="692"/>
      <c r="CZ61" s="692"/>
      <c r="DA61" s="692"/>
      <c r="DB61" s="692"/>
      <c r="DC61" s="692"/>
      <c r="DD61" s="692"/>
      <c r="DE61" s="692"/>
      <c r="DF61" s="692"/>
      <c r="DG61" s="692"/>
      <c r="DH61" s="692"/>
      <c r="DI61" s="692"/>
      <c r="DJ61" s="692"/>
      <c r="DK61" s="692"/>
      <c r="DL61" s="692"/>
      <c r="DM61" s="692"/>
      <c r="DN61" s="692"/>
      <c r="DO61" s="692"/>
      <c r="DP61" s="692"/>
      <c r="DQ61" s="692"/>
      <c r="DR61" s="692"/>
      <c r="DS61" s="692"/>
      <c r="DT61" s="692"/>
      <c r="DU61" s="692"/>
      <c r="DV61" s="692"/>
      <c r="DW61" s="692"/>
      <c r="DX61" s="692"/>
      <c r="DY61" s="692"/>
      <c r="DZ61" s="692"/>
      <c r="EA61" s="692"/>
      <c r="EB61" s="692"/>
      <c r="EC61" s="692"/>
      <c r="ED61" s="692"/>
      <c r="EE61" s="692"/>
      <c r="EF61" s="692"/>
      <c r="EG61" s="692"/>
      <c r="EH61" s="692"/>
      <c r="EI61" s="692"/>
      <c r="EJ61" s="692"/>
      <c r="EK61" s="692"/>
      <c r="EL61" s="692"/>
      <c r="EM61" s="692"/>
      <c r="EN61" s="692"/>
      <c r="EO61" s="692"/>
      <c r="EP61" s="692"/>
      <c r="EQ61" s="692"/>
      <c r="ER61" s="692"/>
      <c r="ES61" s="692"/>
      <c r="ET61" s="692"/>
      <c r="EU61" s="692"/>
      <c r="EV61" s="692"/>
      <c r="EW61" s="692"/>
      <c r="EX61" s="692"/>
      <c r="EY61" s="692"/>
      <c r="EZ61" s="692"/>
      <c r="FA61" s="692"/>
      <c r="FB61" s="692"/>
      <c r="FC61" s="692"/>
      <c r="FD61" s="692"/>
      <c r="FE61" s="692"/>
      <c r="FF61" s="692"/>
      <c r="FG61" s="692"/>
      <c r="FH61" s="692"/>
      <c r="FI61" s="692"/>
      <c r="FJ61" s="692"/>
      <c r="FK61" s="692"/>
      <c r="FL61" s="692"/>
      <c r="FM61" s="692"/>
      <c r="FN61" s="692"/>
      <c r="FO61" s="692"/>
      <c r="FP61" s="692"/>
      <c r="FQ61" s="692"/>
      <c r="FR61" s="692"/>
      <c r="FS61" s="692"/>
      <c r="FT61" s="692"/>
      <c r="FU61" s="692"/>
      <c r="FV61" s="692"/>
      <c r="FW61" s="692"/>
      <c r="FX61" s="692"/>
      <c r="FY61" s="692"/>
      <c r="FZ61" s="692"/>
      <c r="GA61" s="692"/>
      <c r="GB61" s="692"/>
      <c r="GC61" s="692"/>
      <c r="GD61" s="692"/>
      <c r="GE61" s="692"/>
      <c r="GF61" s="692"/>
      <c r="GG61" s="692"/>
      <c r="GH61" s="692"/>
      <c r="GI61" s="692"/>
      <c r="GJ61" s="692"/>
      <c r="GK61" s="692"/>
      <c r="GL61" s="692"/>
      <c r="GM61" s="692"/>
      <c r="GN61" s="692"/>
      <c r="GO61" s="692"/>
      <c r="GP61" s="692"/>
      <c r="GQ61" s="692"/>
      <c r="GR61" s="692"/>
      <c r="GS61" s="692"/>
      <c r="GT61" s="692"/>
      <c r="GU61" s="692"/>
      <c r="GV61" s="692"/>
      <c r="GW61" s="692"/>
      <c r="GX61" s="692"/>
      <c r="GY61" s="692"/>
      <c r="GZ61" s="692"/>
      <c r="HA61" s="692"/>
      <c r="HB61" s="692"/>
      <c r="HC61" s="692"/>
      <c r="HD61" s="692"/>
      <c r="HE61" s="692"/>
      <c r="HF61" s="692"/>
      <c r="HG61" s="692"/>
      <c r="HH61" s="692"/>
      <c r="HI61" s="692"/>
      <c r="HJ61" s="692"/>
      <c r="HK61" s="692"/>
      <c r="HL61" s="692"/>
      <c r="HM61" s="692"/>
      <c r="HN61" s="692"/>
      <c r="HO61" s="692"/>
      <c r="HP61" s="692"/>
      <c r="HQ61" s="692"/>
      <c r="HR61" s="692"/>
      <c r="HS61" s="692"/>
      <c r="HT61" s="692"/>
      <c r="HU61" s="692"/>
      <c r="HV61" s="692"/>
      <c r="HW61" s="692"/>
      <c r="HX61" s="692"/>
      <c r="HY61" s="692"/>
      <c r="HZ61" s="692"/>
      <c r="IA61" s="692"/>
      <c r="IB61" s="692"/>
      <c r="IC61" s="692"/>
      <c r="ID61" s="692"/>
      <c r="IE61" s="692"/>
      <c r="IF61" s="692"/>
      <c r="IG61" s="692"/>
      <c r="IH61" s="692"/>
      <c r="II61" s="692"/>
      <c r="IJ61" s="692"/>
      <c r="IK61" s="692"/>
      <c r="IL61" s="692"/>
      <c r="IM61" s="692"/>
      <c r="IN61" s="692"/>
      <c r="IO61" s="692"/>
      <c r="IP61" s="692"/>
      <c r="IQ61" s="692"/>
      <c r="IR61" s="692"/>
      <c r="IS61" s="692"/>
      <c r="IT61" s="692"/>
    </row>
    <row r="62" spans="1:254" s="723" customFormat="1" x14ac:dyDescent="0.2">
      <c r="W62" s="692"/>
      <c r="X62" s="692"/>
      <c r="Y62" s="692"/>
      <c r="Z62" s="692"/>
      <c r="AA62" s="692"/>
      <c r="AB62" s="692"/>
      <c r="AC62" s="692"/>
      <c r="AD62" s="692"/>
      <c r="AE62" s="692"/>
      <c r="AF62" s="692"/>
      <c r="AG62" s="692"/>
      <c r="AH62" s="692"/>
      <c r="AI62" s="692"/>
      <c r="AJ62" s="692"/>
      <c r="AK62" s="692"/>
      <c r="AL62" s="692"/>
      <c r="AM62" s="692"/>
      <c r="AN62" s="692"/>
      <c r="AO62" s="692"/>
      <c r="AP62" s="692"/>
      <c r="AQ62" s="692"/>
      <c r="AR62" s="692"/>
      <c r="AS62" s="692"/>
      <c r="AT62" s="692"/>
      <c r="AU62" s="692"/>
      <c r="AV62" s="692"/>
      <c r="AW62" s="692"/>
      <c r="AX62" s="692"/>
      <c r="AY62" s="692"/>
      <c r="AZ62" s="692"/>
      <c r="BA62" s="692"/>
      <c r="BB62" s="692"/>
      <c r="BC62" s="692"/>
      <c r="BD62" s="692"/>
      <c r="BE62" s="692"/>
      <c r="BF62" s="692"/>
      <c r="BG62" s="692"/>
      <c r="BH62" s="692"/>
      <c r="BI62" s="692"/>
      <c r="BJ62" s="692"/>
      <c r="BK62" s="692"/>
      <c r="BL62" s="692"/>
      <c r="BM62" s="692"/>
      <c r="BN62" s="692"/>
      <c r="BO62" s="692"/>
      <c r="BP62" s="692"/>
      <c r="BQ62" s="692"/>
      <c r="BR62" s="692"/>
      <c r="BS62" s="692"/>
      <c r="BT62" s="692"/>
      <c r="BU62" s="692"/>
      <c r="BV62" s="692"/>
      <c r="BW62" s="692"/>
      <c r="BX62" s="692"/>
      <c r="BY62" s="692"/>
      <c r="BZ62" s="692"/>
      <c r="CA62" s="692"/>
      <c r="CB62" s="692"/>
      <c r="CC62" s="692"/>
      <c r="CD62" s="692"/>
      <c r="CE62" s="692"/>
      <c r="CF62" s="692"/>
      <c r="CG62" s="692"/>
      <c r="CH62" s="692"/>
      <c r="CI62" s="692"/>
      <c r="CJ62" s="692"/>
      <c r="CK62" s="692"/>
      <c r="CL62" s="692"/>
      <c r="CM62" s="692"/>
      <c r="CN62" s="692"/>
      <c r="CO62" s="692"/>
      <c r="CP62" s="692"/>
      <c r="CQ62" s="692"/>
      <c r="CR62" s="692"/>
      <c r="CS62" s="692"/>
      <c r="CT62" s="692"/>
      <c r="CU62" s="692"/>
      <c r="CV62" s="692"/>
      <c r="CW62" s="692"/>
      <c r="CX62" s="692"/>
      <c r="CY62" s="692"/>
      <c r="CZ62" s="692"/>
      <c r="DA62" s="692"/>
      <c r="DB62" s="692"/>
      <c r="DC62" s="692"/>
      <c r="DD62" s="692"/>
      <c r="DE62" s="692"/>
      <c r="DF62" s="692"/>
      <c r="DG62" s="692"/>
      <c r="DH62" s="692"/>
      <c r="DI62" s="692"/>
      <c r="DJ62" s="692"/>
      <c r="DK62" s="692"/>
      <c r="DL62" s="692"/>
      <c r="DM62" s="692"/>
      <c r="DN62" s="692"/>
      <c r="DO62" s="692"/>
      <c r="DP62" s="692"/>
      <c r="DQ62" s="692"/>
      <c r="DR62" s="692"/>
      <c r="DS62" s="692"/>
      <c r="DT62" s="692"/>
      <c r="DU62" s="692"/>
      <c r="DV62" s="692"/>
      <c r="DW62" s="692"/>
      <c r="DX62" s="692"/>
      <c r="DY62" s="692"/>
      <c r="DZ62" s="692"/>
      <c r="EA62" s="692"/>
      <c r="EB62" s="692"/>
      <c r="EC62" s="692"/>
      <c r="ED62" s="692"/>
      <c r="EE62" s="692"/>
      <c r="EF62" s="692"/>
      <c r="EG62" s="692"/>
      <c r="EH62" s="692"/>
      <c r="EI62" s="692"/>
      <c r="EJ62" s="692"/>
      <c r="EK62" s="692"/>
      <c r="EL62" s="692"/>
      <c r="EM62" s="692"/>
      <c r="EN62" s="692"/>
      <c r="EO62" s="692"/>
      <c r="EP62" s="692"/>
      <c r="EQ62" s="692"/>
      <c r="ER62" s="692"/>
      <c r="ES62" s="692"/>
      <c r="ET62" s="692"/>
      <c r="EU62" s="692"/>
      <c r="EV62" s="692"/>
      <c r="EW62" s="692"/>
      <c r="EX62" s="692"/>
      <c r="EY62" s="692"/>
      <c r="EZ62" s="692"/>
      <c r="FA62" s="692"/>
      <c r="FB62" s="692"/>
      <c r="FC62" s="692"/>
      <c r="FD62" s="692"/>
      <c r="FE62" s="692"/>
      <c r="FF62" s="692"/>
      <c r="FG62" s="692"/>
      <c r="FH62" s="692"/>
      <c r="FI62" s="692"/>
      <c r="FJ62" s="692"/>
      <c r="FK62" s="692"/>
      <c r="FL62" s="692"/>
      <c r="FM62" s="692"/>
      <c r="FN62" s="692"/>
      <c r="FO62" s="692"/>
      <c r="FP62" s="692"/>
      <c r="FQ62" s="692"/>
      <c r="FR62" s="692"/>
      <c r="FS62" s="692"/>
      <c r="FT62" s="692"/>
      <c r="FU62" s="692"/>
      <c r="FV62" s="692"/>
      <c r="FW62" s="692"/>
      <c r="FX62" s="692"/>
      <c r="FY62" s="692"/>
      <c r="FZ62" s="692"/>
      <c r="GA62" s="692"/>
      <c r="GB62" s="692"/>
      <c r="GC62" s="692"/>
      <c r="GD62" s="692"/>
      <c r="GE62" s="692"/>
      <c r="GF62" s="692"/>
      <c r="GG62" s="692"/>
      <c r="GH62" s="692"/>
      <c r="GI62" s="692"/>
      <c r="GJ62" s="692"/>
      <c r="GK62" s="692"/>
      <c r="GL62" s="692"/>
      <c r="GM62" s="692"/>
      <c r="GN62" s="692"/>
      <c r="GO62" s="692"/>
      <c r="GP62" s="692"/>
      <c r="GQ62" s="692"/>
      <c r="GR62" s="692"/>
      <c r="GS62" s="692"/>
      <c r="GT62" s="692"/>
      <c r="GU62" s="692"/>
      <c r="GV62" s="692"/>
      <c r="GW62" s="692"/>
      <c r="GX62" s="692"/>
      <c r="GY62" s="692"/>
      <c r="GZ62" s="692"/>
      <c r="HA62" s="692"/>
      <c r="HB62" s="692"/>
      <c r="HC62" s="692"/>
      <c r="HD62" s="692"/>
      <c r="HE62" s="692"/>
      <c r="HF62" s="692"/>
      <c r="HG62" s="692"/>
      <c r="HH62" s="692"/>
      <c r="HI62" s="692"/>
      <c r="HJ62" s="692"/>
      <c r="HK62" s="692"/>
      <c r="HL62" s="692"/>
      <c r="HM62" s="692"/>
      <c r="HN62" s="692"/>
      <c r="HO62" s="692"/>
      <c r="HP62" s="692"/>
      <c r="HQ62" s="692"/>
      <c r="HR62" s="692"/>
      <c r="HS62" s="692"/>
      <c r="HT62" s="692"/>
      <c r="HU62" s="692"/>
      <c r="HV62" s="692"/>
      <c r="HW62" s="692"/>
      <c r="HX62" s="692"/>
      <c r="HY62" s="692"/>
      <c r="HZ62" s="692"/>
      <c r="IA62" s="692"/>
      <c r="IB62" s="692"/>
      <c r="IC62" s="692"/>
      <c r="ID62" s="692"/>
      <c r="IE62" s="692"/>
      <c r="IF62" s="692"/>
      <c r="IG62" s="692"/>
      <c r="IH62" s="692"/>
      <c r="II62" s="692"/>
      <c r="IJ62" s="692"/>
      <c r="IK62" s="692"/>
      <c r="IL62" s="692"/>
      <c r="IM62" s="692"/>
      <c r="IN62" s="692"/>
      <c r="IO62" s="692"/>
      <c r="IP62" s="692"/>
      <c r="IQ62" s="692"/>
      <c r="IR62" s="692"/>
      <c r="IS62" s="692"/>
      <c r="IT62" s="692"/>
    </row>
    <row r="63" spans="1:254" s="723" customFormat="1" x14ac:dyDescent="0.2">
      <c r="W63" s="692"/>
      <c r="X63" s="692"/>
      <c r="Y63" s="692"/>
      <c r="Z63" s="692"/>
      <c r="AA63" s="692"/>
      <c r="AB63" s="692"/>
      <c r="AC63" s="692"/>
      <c r="AD63" s="692"/>
      <c r="AE63" s="692"/>
      <c r="AF63" s="692"/>
      <c r="AG63" s="692"/>
      <c r="AH63" s="692"/>
      <c r="AI63" s="692"/>
      <c r="AJ63" s="692"/>
      <c r="AK63" s="692"/>
      <c r="AL63" s="692"/>
      <c r="AM63" s="692"/>
      <c r="AN63" s="692"/>
      <c r="AO63" s="692"/>
      <c r="AP63" s="692"/>
      <c r="AQ63" s="692"/>
      <c r="AR63" s="692"/>
      <c r="AS63" s="692"/>
      <c r="AT63" s="692"/>
      <c r="AU63" s="692"/>
      <c r="AV63" s="692"/>
      <c r="AW63" s="692"/>
      <c r="AX63" s="692"/>
      <c r="AY63" s="692"/>
      <c r="AZ63" s="692"/>
      <c r="BA63" s="692"/>
      <c r="BB63" s="692"/>
      <c r="BC63" s="692"/>
      <c r="BD63" s="692"/>
      <c r="BE63" s="692"/>
      <c r="BF63" s="692"/>
      <c r="BG63" s="692"/>
      <c r="BH63" s="692"/>
      <c r="BI63" s="692"/>
      <c r="BJ63" s="692"/>
      <c r="BK63" s="692"/>
      <c r="BL63" s="692"/>
      <c r="BM63" s="692"/>
      <c r="BN63" s="692"/>
      <c r="BO63" s="692"/>
      <c r="BP63" s="692"/>
      <c r="BQ63" s="692"/>
      <c r="BR63" s="692"/>
      <c r="BS63" s="692"/>
      <c r="BT63" s="692"/>
      <c r="BU63" s="692"/>
      <c r="BV63" s="692"/>
      <c r="BW63" s="692"/>
      <c r="BX63" s="692"/>
      <c r="BY63" s="692"/>
      <c r="BZ63" s="692"/>
      <c r="CA63" s="692"/>
      <c r="CB63" s="692"/>
      <c r="CC63" s="692"/>
      <c r="CD63" s="692"/>
      <c r="CE63" s="692"/>
      <c r="CF63" s="692"/>
      <c r="CG63" s="692"/>
      <c r="CH63" s="692"/>
      <c r="CI63" s="692"/>
      <c r="CJ63" s="692"/>
      <c r="CK63" s="692"/>
      <c r="CL63" s="692"/>
      <c r="CM63" s="692"/>
      <c r="CN63" s="692"/>
      <c r="CO63" s="692"/>
      <c r="CP63" s="692"/>
      <c r="CQ63" s="692"/>
      <c r="CR63" s="692"/>
      <c r="CS63" s="692"/>
      <c r="CT63" s="692"/>
      <c r="CU63" s="692"/>
      <c r="CV63" s="692"/>
      <c r="CW63" s="692"/>
      <c r="CX63" s="692"/>
      <c r="CY63" s="692"/>
      <c r="CZ63" s="692"/>
      <c r="DA63" s="692"/>
      <c r="DB63" s="692"/>
      <c r="DC63" s="692"/>
      <c r="DD63" s="692"/>
      <c r="DE63" s="692"/>
      <c r="DF63" s="692"/>
      <c r="DG63" s="692"/>
      <c r="DH63" s="692"/>
      <c r="DI63" s="692"/>
      <c r="DJ63" s="692"/>
      <c r="DK63" s="692"/>
      <c r="DL63" s="692"/>
      <c r="DM63" s="692"/>
      <c r="DN63" s="692"/>
      <c r="DO63" s="692"/>
      <c r="DP63" s="692"/>
      <c r="DQ63" s="692"/>
      <c r="DR63" s="692"/>
      <c r="DS63" s="692"/>
      <c r="DT63" s="692"/>
      <c r="DU63" s="692"/>
      <c r="DV63" s="692"/>
      <c r="DW63" s="692"/>
      <c r="DX63" s="692"/>
      <c r="DY63" s="692"/>
      <c r="DZ63" s="692"/>
      <c r="EA63" s="692"/>
      <c r="EB63" s="692"/>
      <c r="EC63" s="692"/>
      <c r="ED63" s="692"/>
      <c r="EE63" s="692"/>
      <c r="EF63" s="692"/>
      <c r="EG63" s="692"/>
      <c r="EH63" s="692"/>
      <c r="EI63" s="692"/>
      <c r="EJ63" s="692"/>
      <c r="EK63" s="692"/>
      <c r="EL63" s="692"/>
      <c r="EM63" s="692"/>
      <c r="EN63" s="692"/>
      <c r="EO63" s="692"/>
      <c r="EP63" s="692"/>
      <c r="EQ63" s="692"/>
      <c r="ER63" s="692"/>
      <c r="ES63" s="692"/>
      <c r="ET63" s="692"/>
      <c r="EU63" s="692"/>
      <c r="EV63" s="692"/>
      <c r="EW63" s="692"/>
      <c r="EX63" s="692"/>
      <c r="EY63" s="692"/>
      <c r="EZ63" s="692"/>
      <c r="FA63" s="692"/>
      <c r="FB63" s="692"/>
      <c r="FC63" s="692"/>
      <c r="FD63" s="692"/>
      <c r="FE63" s="692"/>
      <c r="FF63" s="692"/>
      <c r="FG63" s="692"/>
      <c r="FH63" s="692"/>
      <c r="FI63" s="692"/>
      <c r="FJ63" s="692"/>
      <c r="FK63" s="692"/>
      <c r="FL63" s="692"/>
      <c r="FM63" s="692"/>
      <c r="FN63" s="692"/>
      <c r="FO63" s="692"/>
      <c r="FP63" s="692"/>
      <c r="FQ63" s="692"/>
      <c r="FR63" s="692"/>
      <c r="FS63" s="692"/>
      <c r="FT63" s="692"/>
      <c r="FU63" s="692"/>
      <c r="FV63" s="692"/>
      <c r="FW63" s="692"/>
      <c r="FX63" s="692"/>
      <c r="FY63" s="692"/>
      <c r="FZ63" s="692"/>
      <c r="GA63" s="692"/>
      <c r="GB63" s="692"/>
      <c r="GC63" s="692"/>
      <c r="GD63" s="692"/>
      <c r="GE63" s="692"/>
      <c r="GF63" s="692"/>
      <c r="GG63" s="692"/>
      <c r="GH63" s="692"/>
      <c r="GI63" s="692"/>
      <c r="GJ63" s="692"/>
      <c r="GK63" s="692"/>
      <c r="GL63" s="692"/>
      <c r="GM63" s="692"/>
      <c r="GN63" s="692"/>
      <c r="GO63" s="692"/>
      <c r="GP63" s="692"/>
      <c r="GQ63" s="692"/>
      <c r="GR63" s="692"/>
      <c r="GS63" s="692"/>
      <c r="GT63" s="692"/>
      <c r="GU63" s="692"/>
      <c r="GV63" s="692"/>
      <c r="GW63" s="692"/>
      <c r="GX63" s="692"/>
      <c r="GY63" s="692"/>
      <c r="GZ63" s="692"/>
      <c r="HA63" s="692"/>
      <c r="HB63" s="692"/>
      <c r="HC63" s="692"/>
      <c r="HD63" s="692"/>
      <c r="HE63" s="692"/>
      <c r="HF63" s="692"/>
      <c r="HG63" s="692"/>
      <c r="HH63" s="692"/>
      <c r="HI63" s="692"/>
      <c r="HJ63" s="692"/>
      <c r="HK63" s="692"/>
      <c r="HL63" s="692"/>
      <c r="HM63" s="692"/>
      <c r="HN63" s="692"/>
      <c r="HO63" s="692"/>
      <c r="HP63" s="692"/>
      <c r="HQ63" s="692"/>
      <c r="HR63" s="692"/>
      <c r="HS63" s="692"/>
      <c r="HT63" s="692"/>
      <c r="HU63" s="692"/>
      <c r="HV63" s="692"/>
      <c r="HW63" s="692"/>
      <c r="HX63" s="692"/>
      <c r="HY63" s="692"/>
      <c r="HZ63" s="692"/>
      <c r="IA63" s="692"/>
      <c r="IB63" s="692"/>
      <c r="IC63" s="692"/>
      <c r="ID63" s="692"/>
      <c r="IE63" s="692"/>
      <c r="IF63" s="692"/>
      <c r="IG63" s="692"/>
      <c r="IH63" s="692"/>
      <c r="II63" s="692"/>
      <c r="IJ63" s="692"/>
      <c r="IK63" s="692"/>
      <c r="IL63" s="692"/>
      <c r="IM63" s="692"/>
      <c r="IN63" s="692"/>
      <c r="IO63" s="692"/>
      <c r="IP63" s="692"/>
      <c r="IQ63" s="692"/>
      <c r="IR63" s="692"/>
      <c r="IS63" s="692"/>
      <c r="IT63" s="692"/>
    </row>
    <row r="64" spans="1:254" s="723" customFormat="1" x14ac:dyDescent="0.2">
      <c r="W64" s="692"/>
      <c r="X64" s="692"/>
      <c r="Y64" s="692"/>
      <c r="Z64" s="692"/>
      <c r="AA64" s="692"/>
      <c r="AB64" s="692"/>
      <c r="AC64" s="692"/>
      <c r="AD64" s="692"/>
      <c r="AE64" s="692"/>
      <c r="AF64" s="692"/>
      <c r="AG64" s="692"/>
      <c r="AH64" s="692"/>
      <c r="AI64" s="692"/>
      <c r="AJ64" s="692"/>
      <c r="AK64" s="692"/>
      <c r="AL64" s="692"/>
      <c r="AM64" s="692"/>
      <c r="AN64" s="692"/>
      <c r="AO64" s="692"/>
      <c r="AP64" s="692"/>
      <c r="AQ64" s="692"/>
      <c r="AR64" s="692"/>
      <c r="AS64" s="692"/>
      <c r="AT64" s="692"/>
      <c r="AU64" s="692"/>
      <c r="AV64" s="692"/>
      <c r="AW64" s="692"/>
      <c r="AX64" s="692"/>
      <c r="AY64" s="692"/>
      <c r="AZ64" s="692"/>
      <c r="BA64" s="692"/>
      <c r="BB64" s="692"/>
      <c r="BC64" s="692"/>
      <c r="BD64" s="692"/>
      <c r="BE64" s="692"/>
      <c r="BF64" s="692"/>
      <c r="BG64" s="692"/>
      <c r="BH64" s="692"/>
      <c r="BI64" s="692"/>
      <c r="BJ64" s="692"/>
      <c r="BK64" s="692"/>
      <c r="BL64" s="692"/>
      <c r="BM64" s="692"/>
      <c r="BN64" s="692"/>
      <c r="BO64" s="692"/>
      <c r="BP64" s="692"/>
      <c r="BQ64" s="692"/>
      <c r="BR64" s="692"/>
      <c r="BS64" s="692"/>
      <c r="BT64" s="692"/>
      <c r="BU64" s="692"/>
      <c r="BV64" s="692"/>
      <c r="BW64" s="692"/>
      <c r="BX64" s="692"/>
      <c r="BY64" s="692"/>
      <c r="BZ64" s="692"/>
      <c r="CA64" s="692"/>
      <c r="CB64" s="692"/>
      <c r="CC64" s="692"/>
      <c r="CD64" s="692"/>
      <c r="CE64" s="692"/>
      <c r="CF64" s="692"/>
      <c r="CG64" s="692"/>
      <c r="CH64" s="692"/>
      <c r="CI64" s="692"/>
      <c r="CJ64" s="692"/>
      <c r="CK64" s="692"/>
      <c r="CL64" s="692"/>
      <c r="CM64" s="692"/>
      <c r="CN64" s="692"/>
      <c r="CO64" s="692"/>
      <c r="CP64" s="692"/>
      <c r="CQ64" s="692"/>
      <c r="CR64" s="692"/>
      <c r="CS64" s="692"/>
      <c r="CT64" s="692"/>
      <c r="CU64" s="692"/>
      <c r="CV64" s="692"/>
      <c r="CW64" s="692"/>
      <c r="CX64" s="692"/>
      <c r="CY64" s="692"/>
      <c r="CZ64" s="692"/>
      <c r="DA64" s="692"/>
      <c r="DB64" s="692"/>
      <c r="DC64" s="692"/>
      <c r="DD64" s="692"/>
      <c r="DE64" s="692"/>
      <c r="DF64" s="692"/>
      <c r="DG64" s="692"/>
      <c r="DH64" s="692"/>
      <c r="DI64" s="692"/>
      <c r="DJ64" s="692"/>
      <c r="DK64" s="692"/>
      <c r="DL64" s="692"/>
      <c r="DM64" s="692"/>
      <c r="DN64" s="692"/>
      <c r="DO64" s="692"/>
      <c r="DP64" s="692"/>
      <c r="DQ64" s="692"/>
      <c r="DR64" s="692"/>
      <c r="DS64" s="692"/>
      <c r="DT64" s="692"/>
      <c r="DU64" s="692"/>
      <c r="DV64" s="692"/>
      <c r="DW64" s="692"/>
      <c r="DX64" s="692"/>
      <c r="DY64" s="692"/>
      <c r="DZ64" s="692"/>
      <c r="EA64" s="692"/>
      <c r="EB64" s="692"/>
      <c r="EC64" s="692"/>
      <c r="ED64" s="692"/>
      <c r="EE64" s="692"/>
      <c r="EF64" s="692"/>
      <c r="EG64" s="692"/>
      <c r="EH64" s="692"/>
      <c r="EI64" s="692"/>
      <c r="EJ64" s="692"/>
      <c r="EK64" s="692"/>
      <c r="EL64" s="692"/>
      <c r="EM64" s="692"/>
      <c r="EN64" s="692"/>
      <c r="EO64" s="692"/>
      <c r="EP64" s="692"/>
      <c r="EQ64" s="692"/>
      <c r="ER64" s="692"/>
      <c r="ES64" s="692"/>
      <c r="ET64" s="692"/>
      <c r="EU64" s="692"/>
      <c r="EV64" s="692"/>
      <c r="EW64" s="692"/>
      <c r="EX64" s="692"/>
      <c r="EY64" s="692"/>
      <c r="EZ64" s="692"/>
      <c r="FA64" s="692"/>
      <c r="FB64" s="692"/>
      <c r="FC64" s="692"/>
      <c r="FD64" s="692"/>
      <c r="FE64" s="692"/>
      <c r="FF64" s="692"/>
      <c r="FG64" s="692"/>
      <c r="FH64" s="692"/>
      <c r="FI64" s="692"/>
      <c r="FJ64" s="692"/>
      <c r="FK64" s="692"/>
      <c r="FL64" s="692"/>
      <c r="FM64" s="692"/>
      <c r="FN64" s="692"/>
      <c r="FO64" s="692"/>
      <c r="FP64" s="692"/>
      <c r="FQ64" s="692"/>
      <c r="FR64" s="692"/>
      <c r="FS64" s="692"/>
      <c r="FT64" s="692"/>
      <c r="FU64" s="692"/>
      <c r="FV64" s="692"/>
      <c r="FW64" s="692"/>
      <c r="FX64" s="692"/>
      <c r="FY64" s="692"/>
      <c r="FZ64" s="692"/>
      <c r="GA64" s="692"/>
      <c r="GB64" s="692"/>
      <c r="GC64" s="692"/>
      <c r="GD64" s="692"/>
      <c r="GE64" s="692"/>
      <c r="GF64" s="692"/>
      <c r="GG64" s="692"/>
      <c r="GH64" s="692"/>
      <c r="GI64" s="692"/>
      <c r="GJ64" s="692"/>
      <c r="GK64" s="692"/>
      <c r="GL64" s="692"/>
      <c r="GM64" s="692"/>
      <c r="GN64" s="692"/>
      <c r="GO64" s="692"/>
      <c r="GP64" s="692"/>
      <c r="GQ64" s="692"/>
      <c r="GR64" s="692"/>
      <c r="GS64" s="692"/>
      <c r="GT64" s="692"/>
      <c r="GU64" s="692"/>
      <c r="GV64" s="692"/>
      <c r="GW64" s="692"/>
      <c r="GX64" s="692"/>
      <c r="GY64" s="692"/>
      <c r="GZ64" s="692"/>
      <c r="HA64" s="692"/>
      <c r="HB64" s="692"/>
      <c r="HC64" s="692"/>
      <c r="HD64" s="692"/>
      <c r="HE64" s="692"/>
      <c r="HF64" s="692"/>
      <c r="HG64" s="692"/>
      <c r="HH64" s="692"/>
      <c r="HI64" s="692"/>
      <c r="HJ64" s="692"/>
      <c r="HK64" s="692"/>
      <c r="HL64" s="692"/>
      <c r="HM64" s="692"/>
      <c r="HN64" s="692"/>
      <c r="HO64" s="692"/>
      <c r="HP64" s="692"/>
      <c r="HQ64" s="692"/>
      <c r="HR64" s="692"/>
      <c r="HS64" s="692"/>
      <c r="HT64" s="692"/>
      <c r="HU64" s="692"/>
      <c r="HV64" s="692"/>
      <c r="HW64" s="692"/>
      <c r="HX64" s="692"/>
      <c r="HY64" s="692"/>
      <c r="HZ64" s="692"/>
      <c r="IA64" s="692"/>
      <c r="IB64" s="692"/>
      <c r="IC64" s="692"/>
      <c r="ID64" s="692"/>
      <c r="IE64" s="692"/>
      <c r="IF64" s="692"/>
      <c r="IG64" s="692"/>
      <c r="IH64" s="692"/>
      <c r="II64" s="692"/>
      <c r="IJ64" s="692"/>
      <c r="IK64" s="692"/>
      <c r="IL64" s="692"/>
      <c r="IM64" s="692"/>
      <c r="IN64" s="692"/>
      <c r="IO64" s="692"/>
      <c r="IP64" s="692"/>
      <c r="IQ64" s="692"/>
      <c r="IR64" s="692"/>
      <c r="IS64" s="692"/>
      <c r="IT64" s="692"/>
    </row>
    <row r="65" s="723" customFormat="1" x14ac:dyDescent="0.2"/>
    <row r="66" s="723" customFormat="1" x14ac:dyDescent="0.2"/>
    <row r="67" s="723" customFormat="1" x14ac:dyDescent="0.2"/>
    <row r="68" s="723" customFormat="1" x14ac:dyDescent="0.2"/>
    <row r="69" s="723" customFormat="1" x14ac:dyDescent="0.2"/>
    <row r="70" s="723" customFormat="1" x14ac:dyDescent="0.2"/>
    <row r="71" s="723" customFormat="1" x14ac:dyDescent="0.2"/>
    <row r="72" s="723" customFormat="1" x14ac:dyDescent="0.2"/>
    <row r="73" s="723" customFormat="1" x14ac:dyDescent="0.2"/>
    <row r="74" s="723" customFormat="1" x14ac:dyDescent="0.2"/>
    <row r="75" s="723" customFormat="1" x14ac:dyDescent="0.2"/>
    <row r="76" s="723" customFormat="1" x14ac:dyDescent="0.2"/>
  </sheetData>
  <sheetProtection password="92D1" sheet="1" formatCells="0" formatColumns="0" formatRows="0" selectLockedCells="1"/>
  <mergeCells count="44">
    <mergeCell ref="D49:F49"/>
    <mergeCell ref="A42:J42"/>
    <mergeCell ref="J27:J28"/>
    <mergeCell ref="C29:I30"/>
    <mergeCell ref="D46:F46"/>
    <mergeCell ref="D47:F47"/>
    <mergeCell ref="D48:F48"/>
    <mergeCell ref="A45:J45"/>
    <mergeCell ref="A37:J40"/>
    <mergeCell ref="J29:J30"/>
    <mergeCell ref="A33:J33"/>
    <mergeCell ref="B29:B30"/>
    <mergeCell ref="C27:H28"/>
    <mergeCell ref="B27:B28"/>
    <mergeCell ref="J25:J26"/>
    <mergeCell ref="J21:J22"/>
    <mergeCell ref="J23:J24"/>
    <mergeCell ref="C23:H24"/>
    <mergeCell ref="A13:C13"/>
    <mergeCell ref="A14:C14"/>
    <mergeCell ref="B21:B22"/>
    <mergeCell ref="C21:I22"/>
    <mergeCell ref="B25:B26"/>
    <mergeCell ref="C25:H26"/>
    <mergeCell ref="B19:B20"/>
    <mergeCell ref="C19:I20"/>
    <mergeCell ref="B23:B24"/>
    <mergeCell ref="A16:J16"/>
    <mergeCell ref="J19:J20"/>
    <mergeCell ref="A6:C6"/>
    <mergeCell ref="D6:G6"/>
    <mergeCell ref="A7:C7"/>
    <mergeCell ref="A1:J1"/>
    <mergeCell ref="A3:C3"/>
    <mergeCell ref="D3:G3"/>
    <mergeCell ref="A5:C5"/>
    <mergeCell ref="D5:G5"/>
    <mergeCell ref="A9:C9"/>
    <mergeCell ref="D9:G9"/>
    <mergeCell ref="D10:G10"/>
    <mergeCell ref="D7:G7"/>
    <mergeCell ref="A8:C8"/>
    <mergeCell ref="D8:G8"/>
    <mergeCell ref="A10:C10"/>
  </mergeCells>
  <phoneticPr fontId="0" type="noConversion"/>
  <dataValidations count="4">
    <dataValidation type="list" allowBlank="1" showInputMessage="1" showErrorMessage="1" sqref="B29 B32 B19 B25">
      <formula1>"Select,Yes,No,Partially"</formula1>
    </dataValidation>
    <dataValidation type="list" allowBlank="1" showInputMessage="1" showErrorMessage="1" sqref="B27 B23 B21">
      <formula1>"Select,Yes,No"</formula1>
    </dataValidation>
    <dataValidation type="list" allowBlank="1" showInputMessage="1" showErrorMessage="1" sqref="H14">
      <formula1>"Select,N/A,1,2,3,4,5,6,7,8,9,10,11,12,13,14,15,16,17,18,19,20"</formula1>
    </dataValidation>
    <dataValidation type="list" allowBlank="1" showInputMessage="1" showErrorMessage="1" sqref="H6">
      <formula1>"Select,Health Systems Strengthening,HIV/AIDS,HIV/TB,Integrated,Malaria,Tuberculosis"</formula1>
    </dataValidation>
  </dataValidations>
  <printOptions horizontalCentered="1"/>
  <pageMargins left="0.43307086614173229" right="0.35433070866141736" top="0.43307086614173229" bottom="0.55118110236220474" header="0.31496062992125984" footer="0.35433070866141736"/>
  <pageSetup paperSize="9" scale="52" fitToHeight="0" orientation="landscape" r:id="rId1"/>
  <headerFooter alignWithMargins="0">
    <oddFooter>&amp;R&amp;9Page &amp;P of &amp;N</oddFooter>
  </headerFooter>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IU37"/>
  <sheetViews>
    <sheetView view="pageBreakPreview" topLeftCell="A14" zoomScale="70" zoomScaleNormal="40" zoomScaleSheetLayoutView="70" zoomScalePageLayoutView="55" workbookViewId="0">
      <selection activeCell="F22" sqref="F22:G22"/>
    </sheetView>
  </sheetViews>
  <sheetFormatPr defaultColWidth="0" defaultRowHeight="12.75" x14ac:dyDescent="0.2"/>
  <cols>
    <col min="1" max="1" width="23.140625" style="72" customWidth="1"/>
    <col min="2" max="2" width="32.28515625" style="72" customWidth="1"/>
    <col min="3" max="3" width="18.7109375" style="72" customWidth="1"/>
    <col min="4" max="4" width="23.140625" style="72" customWidth="1"/>
    <col min="5" max="8" width="18.7109375" style="72" customWidth="1"/>
    <col min="9" max="9" width="23.7109375" style="72" customWidth="1"/>
    <col min="10" max="10" width="12.85546875" style="72" customWidth="1"/>
    <col min="11" max="11" width="30.28515625" style="72" customWidth="1"/>
    <col min="12" max="12" width="4.85546875" style="83" customWidth="1"/>
    <col min="13" max="14" width="18.5703125" style="69" customWidth="1"/>
    <col min="15" max="255" width="0" style="72" hidden="1" customWidth="1"/>
    <col min="256" max="16384" width="9.140625" style="72" hidden="1"/>
  </cols>
  <sheetData>
    <row r="1" spans="1:14" s="3" customFormat="1" ht="25.5" customHeight="1" x14ac:dyDescent="0.35">
      <c r="A1" s="2161" t="s">
        <v>629</v>
      </c>
      <c r="B1" s="2161"/>
      <c r="C1" s="2161"/>
      <c r="D1" s="2161"/>
      <c r="E1" s="2161"/>
      <c r="F1" s="2161"/>
      <c r="G1" s="2161"/>
      <c r="H1" s="2161"/>
      <c r="I1" s="2161"/>
      <c r="J1" s="2161"/>
      <c r="K1" s="2161"/>
      <c r="L1" s="1030"/>
      <c r="M1" s="1030"/>
      <c r="N1" s="1030"/>
    </row>
    <row r="2" spans="1:14" s="13" customFormat="1" ht="27" customHeight="1" thickBot="1" x14ac:dyDescent="0.3">
      <c r="A2" s="98" t="s">
        <v>504</v>
      </c>
      <c r="B2" s="72"/>
      <c r="C2" s="72"/>
      <c r="D2" s="72"/>
      <c r="E2" s="72"/>
      <c r="F2" s="72"/>
      <c r="G2" s="72"/>
      <c r="H2" s="72"/>
      <c r="I2" s="72"/>
      <c r="J2" s="72"/>
      <c r="K2" s="72"/>
      <c r="L2" s="69"/>
      <c r="M2" s="69"/>
      <c r="N2" s="69"/>
    </row>
    <row r="3" spans="1:14" s="4" customFormat="1" ht="18" customHeight="1" thickBot="1" x14ac:dyDescent="0.25">
      <c r="A3" s="1742" t="s">
        <v>419</v>
      </c>
      <c r="B3" s="1743"/>
      <c r="C3" s="2537" t="str">
        <f>IF('LFA_Programmatic Progress_1A'!C7="","",'LFA_Programmatic Progress_1A'!C7)</f>
        <v>BTN-607-G03-H</v>
      </c>
      <c r="D3" s="2538"/>
      <c r="E3" s="2538"/>
      <c r="F3" s="2538"/>
      <c r="G3" s="2538"/>
      <c r="H3" s="2538"/>
      <c r="I3" s="2539"/>
      <c r="J3" s="73"/>
      <c r="K3" s="73"/>
      <c r="L3" s="220"/>
      <c r="M3" s="220"/>
      <c r="N3" s="220"/>
    </row>
    <row r="4" spans="1:14" s="4" customFormat="1" ht="15" customHeight="1" x14ac:dyDescent="0.2">
      <c r="A4" s="492" t="s">
        <v>621</v>
      </c>
      <c r="B4" s="512"/>
      <c r="C4" s="53" t="s">
        <v>627</v>
      </c>
      <c r="D4" s="2148" t="str">
        <f>IF('LFA_Programmatic Progress_1A'!D12="Select","",'LFA_Programmatic Progress_1A'!D12)</f>
        <v>Quarter</v>
      </c>
      <c r="E4" s="2398"/>
      <c r="F4" s="5" t="s">
        <v>628</v>
      </c>
      <c r="G4" s="508"/>
      <c r="H4" s="508"/>
      <c r="I4" s="47">
        <f>IF('LFA_Programmatic Progress_1A'!F12="Select","",'LFA_Programmatic Progress_1A'!F12)</f>
        <v>17</v>
      </c>
      <c r="J4" s="73"/>
      <c r="K4" s="220"/>
      <c r="L4" s="220"/>
      <c r="M4" s="220"/>
      <c r="N4" s="220"/>
    </row>
    <row r="5" spans="1:14" s="4" customFormat="1" ht="15" customHeight="1" x14ac:dyDescent="0.2">
      <c r="A5" s="513" t="s">
        <v>622</v>
      </c>
      <c r="B5" s="40"/>
      <c r="C5" s="54" t="s">
        <v>590</v>
      </c>
      <c r="D5" s="2180">
        <f>IF('LFA_Programmatic Progress_1A'!D13="","",'LFA_Programmatic Progress_1A'!D13)</f>
        <v>40940</v>
      </c>
      <c r="E5" s="2399"/>
      <c r="F5" s="5" t="s">
        <v>608</v>
      </c>
      <c r="G5" s="509"/>
      <c r="H5" s="509"/>
      <c r="I5" s="520">
        <f>IF('LFA_Programmatic Progress_1A'!F13="","",'LFA_Programmatic Progress_1A'!F13)</f>
        <v>41029</v>
      </c>
      <c r="J5" s="73"/>
      <c r="K5" s="221"/>
      <c r="L5" s="220"/>
      <c r="M5" s="220"/>
      <c r="N5" s="220"/>
    </row>
    <row r="6" spans="1:14" s="4" customFormat="1" ht="15" customHeight="1" thickBot="1" x14ac:dyDescent="0.25">
      <c r="A6" s="55" t="s">
        <v>623</v>
      </c>
      <c r="B6" s="41"/>
      <c r="C6" s="1816">
        <f>IF('LFA_Programmatic Progress_1A'!C14="Select","",'LFA_Programmatic Progress_1A'!C14)</f>
        <v>17</v>
      </c>
      <c r="D6" s="1817"/>
      <c r="E6" s="1817"/>
      <c r="F6" s="1817"/>
      <c r="G6" s="1817"/>
      <c r="H6" s="1817"/>
      <c r="I6" s="1818"/>
      <c r="J6" s="73"/>
      <c r="K6" s="73"/>
      <c r="L6" s="220"/>
      <c r="M6" s="220"/>
      <c r="N6" s="220"/>
    </row>
    <row r="7" spans="1:14" s="3" customFormat="1" ht="16.5" customHeight="1" x14ac:dyDescent="0.2">
      <c r="A7" s="70"/>
      <c r="B7" s="70"/>
      <c r="C7" s="70"/>
      <c r="D7" s="70"/>
      <c r="E7" s="70"/>
      <c r="F7" s="70"/>
      <c r="G7" s="70"/>
      <c r="H7" s="70"/>
      <c r="I7" s="70"/>
      <c r="J7" s="71"/>
      <c r="K7" s="69"/>
      <c r="L7" s="69"/>
      <c r="M7" s="69"/>
      <c r="N7" s="69"/>
    </row>
    <row r="8" spans="1:14" s="17" customFormat="1" ht="20.25" customHeight="1" x14ac:dyDescent="0.3">
      <c r="A8" s="1273" t="s">
        <v>230</v>
      </c>
      <c r="B8" s="1274"/>
      <c r="C8" s="1274"/>
      <c r="D8" s="1275"/>
      <c r="E8" s="77"/>
      <c r="F8" s="77"/>
      <c r="G8" s="77"/>
      <c r="H8" s="77"/>
      <c r="I8" s="77"/>
      <c r="J8" s="77"/>
      <c r="K8" s="77"/>
      <c r="L8" s="77"/>
      <c r="M8" s="77"/>
      <c r="N8" s="77"/>
    </row>
    <row r="9" spans="1:14" s="74" customFormat="1" ht="15" customHeight="1" x14ac:dyDescent="0.3">
      <c r="A9" s="765"/>
      <c r="B9" s="766"/>
      <c r="C9" s="766"/>
      <c r="D9" s="766"/>
      <c r="E9" s="1213"/>
      <c r="F9" s="1213"/>
      <c r="G9" s="1213"/>
      <c r="H9" s="1213"/>
      <c r="I9" s="1213"/>
      <c r="J9" s="1213"/>
      <c r="K9" s="1214"/>
      <c r="L9" s="77"/>
      <c r="M9" s="77"/>
      <c r="N9" s="77"/>
    </row>
    <row r="10" spans="1:14" s="74" customFormat="1" ht="13.5" customHeight="1" thickBot="1" x14ac:dyDescent="0.25">
      <c r="A10" s="767"/>
      <c r="B10" s="768"/>
      <c r="C10" s="363"/>
      <c r="D10" s="363"/>
      <c r="E10" s="363"/>
      <c r="F10" s="363"/>
      <c r="G10" s="363"/>
      <c r="H10" s="363"/>
      <c r="I10" s="363"/>
      <c r="J10" s="363"/>
      <c r="K10" s="1028"/>
      <c r="L10" s="361"/>
      <c r="M10" s="14"/>
      <c r="N10" s="82"/>
    </row>
    <row r="11" spans="1:14" s="13" customFormat="1" ht="22.5" customHeight="1" thickBot="1" x14ac:dyDescent="0.25">
      <c r="A11" s="226"/>
      <c r="B11" s="227"/>
      <c r="C11" s="615" t="s">
        <v>581</v>
      </c>
      <c r="D11" s="616" t="s">
        <v>582</v>
      </c>
      <c r="E11" s="2497" t="s">
        <v>359</v>
      </c>
      <c r="F11" s="2498"/>
      <c r="G11" s="2498"/>
      <c r="H11" s="2498"/>
      <c r="I11" s="2499"/>
      <c r="J11" s="2499"/>
      <c r="K11" s="2500"/>
      <c r="L11" s="14"/>
      <c r="M11" s="14"/>
      <c r="N11" s="14"/>
    </row>
    <row r="12" spans="1:14" s="13" customFormat="1" ht="135" customHeight="1" thickBot="1" x14ac:dyDescent="0.25">
      <c r="A12" s="2507" t="s">
        <v>244</v>
      </c>
      <c r="B12" s="2508"/>
      <c r="C12" s="1349" t="str">
        <f>'PR_Procurement Info_4'!F10</f>
        <v>No</v>
      </c>
      <c r="D12" s="1336" t="s">
        <v>366</v>
      </c>
      <c r="E12" s="2514" t="s">
        <v>1162</v>
      </c>
      <c r="F12" s="2515"/>
      <c r="G12" s="2515"/>
      <c r="H12" s="2515"/>
      <c r="I12" s="2516"/>
      <c r="J12" s="2516"/>
      <c r="K12" s="2517"/>
      <c r="L12" s="14"/>
      <c r="M12" s="14"/>
      <c r="N12" s="14"/>
    </row>
    <row r="13" spans="1:14" s="612" customFormat="1" ht="12" customHeight="1" x14ac:dyDescent="0.2">
      <c r="A13" s="229"/>
      <c r="B13" s="617"/>
      <c r="C13" s="618"/>
      <c r="D13" s="230"/>
      <c r="E13" s="619"/>
      <c r="F13" s="619"/>
      <c r="G13" s="620"/>
      <c r="H13" s="621"/>
      <c r="I13" s="622"/>
      <c r="J13" s="622"/>
      <c r="K13" s="1035"/>
      <c r="L13" s="992"/>
      <c r="M13" s="992"/>
      <c r="N13" s="992"/>
    </row>
    <row r="14" spans="1:14" s="535" customFormat="1" ht="22.5" customHeight="1" x14ac:dyDescent="0.2">
      <c r="A14" s="2509" t="s">
        <v>227</v>
      </c>
      <c r="B14" s="2510"/>
      <c r="C14" s="2510"/>
      <c r="D14" s="2510"/>
      <c r="E14" s="623"/>
      <c r="F14" s="624"/>
      <c r="G14" s="624"/>
      <c r="H14" s="228"/>
      <c r="I14" s="625"/>
      <c r="J14" s="228"/>
      <c r="K14" s="1036"/>
      <c r="L14" s="627"/>
      <c r="M14" s="992"/>
      <c r="N14" s="992"/>
    </row>
    <row r="15" spans="1:14" s="535" customFormat="1" ht="44.25" customHeight="1" thickBot="1" x14ac:dyDescent="0.25">
      <c r="A15" s="2511" t="s">
        <v>347</v>
      </c>
      <c r="B15" s="2512"/>
      <c r="C15" s="2512"/>
      <c r="D15" s="2512"/>
      <c r="E15" s="2512"/>
      <c r="F15" s="2512"/>
      <c r="G15" s="2512"/>
      <c r="H15" s="2512"/>
      <c r="I15" s="2512"/>
      <c r="J15" s="2512"/>
      <c r="K15" s="2513"/>
      <c r="L15" s="627"/>
      <c r="M15" s="992"/>
      <c r="N15" s="992"/>
    </row>
    <row r="16" spans="1:14" s="91" customFormat="1" ht="22.5" customHeight="1" thickBot="1" x14ac:dyDescent="0.25">
      <c r="A16" s="2501" t="s">
        <v>583</v>
      </c>
      <c r="B16" s="2502"/>
      <c r="C16" s="630"/>
      <c r="D16" s="626"/>
      <c r="E16" s="626"/>
      <c r="F16" s="626"/>
      <c r="G16" s="626"/>
      <c r="H16" s="14"/>
      <c r="I16" s="551"/>
      <c r="J16" s="14"/>
      <c r="K16" s="627"/>
      <c r="L16" s="627"/>
      <c r="M16" s="992"/>
      <c r="N16" s="992"/>
    </row>
    <row r="17" spans="1:14" s="37" customFormat="1" ht="113.25" customHeight="1" thickBot="1" x14ac:dyDescent="0.25">
      <c r="A17" s="2497" t="s">
        <v>584</v>
      </c>
      <c r="B17" s="2503"/>
      <c r="C17" s="1313" t="s">
        <v>245</v>
      </c>
      <c r="D17" s="1313" t="s">
        <v>327</v>
      </c>
      <c r="E17" s="1276" t="s">
        <v>596</v>
      </c>
      <c r="F17" s="2503" t="s">
        <v>597</v>
      </c>
      <c r="G17" s="2506"/>
      <c r="H17" s="1313" t="s">
        <v>246</v>
      </c>
      <c r="I17" s="1313" t="s">
        <v>247</v>
      </c>
      <c r="J17" s="1313" t="s">
        <v>596</v>
      </c>
      <c r="K17" s="1337" t="s">
        <v>597</v>
      </c>
      <c r="L17" s="14"/>
      <c r="M17" s="14"/>
      <c r="N17" s="14"/>
    </row>
    <row r="18" spans="1:14" s="628" customFormat="1" ht="47.25" customHeight="1" x14ac:dyDescent="0.2">
      <c r="A18" s="2493" t="s">
        <v>360</v>
      </c>
      <c r="B18" s="2494"/>
      <c r="C18" s="631"/>
      <c r="D18" s="631"/>
      <c r="E18" s="399" t="str">
        <f t="shared" ref="E18:E23" si="0">IF(C18="",IF(D18="","",C18-D18),C18-D18)</f>
        <v/>
      </c>
      <c r="F18" s="2495"/>
      <c r="G18" s="2496"/>
      <c r="H18" s="631"/>
      <c r="I18" s="631"/>
      <c r="J18" s="399" t="str">
        <f t="shared" ref="J18:J23" si="1">IF(H18="",IF(I18="","",H18-I18),H18-I18)</f>
        <v/>
      </c>
      <c r="K18" s="1338"/>
      <c r="L18" s="993"/>
      <c r="M18" s="993"/>
      <c r="N18" s="993"/>
    </row>
    <row r="19" spans="1:14" s="3" customFormat="1" ht="47.25" customHeight="1" x14ac:dyDescent="0.2">
      <c r="A19" s="2504" t="s">
        <v>373</v>
      </c>
      <c r="B19" s="2505"/>
      <c r="C19" s="632"/>
      <c r="D19" s="632"/>
      <c r="E19" s="188" t="str">
        <f t="shared" si="0"/>
        <v/>
      </c>
      <c r="F19" s="2491"/>
      <c r="G19" s="2492"/>
      <c r="H19" s="632"/>
      <c r="I19" s="632"/>
      <c r="J19" s="188" t="str">
        <f t="shared" si="1"/>
        <v/>
      </c>
      <c r="K19" s="1339"/>
      <c r="L19" s="83"/>
      <c r="M19" s="69"/>
      <c r="N19" s="69"/>
    </row>
    <row r="20" spans="1:14" s="75" customFormat="1" ht="47.25" customHeight="1" x14ac:dyDescent="0.2">
      <c r="A20" s="2504" t="s">
        <v>361</v>
      </c>
      <c r="B20" s="2505"/>
      <c r="C20" s="632"/>
      <c r="D20" s="632"/>
      <c r="E20" s="188" t="str">
        <f t="shared" si="0"/>
        <v/>
      </c>
      <c r="F20" s="2491"/>
      <c r="G20" s="2492"/>
      <c r="H20" s="632"/>
      <c r="I20" s="632"/>
      <c r="J20" s="188" t="str">
        <f t="shared" si="1"/>
        <v/>
      </c>
      <c r="K20" s="1340"/>
      <c r="L20" s="1034"/>
      <c r="M20" s="88"/>
      <c r="N20" s="88"/>
    </row>
    <row r="21" spans="1:14" s="75" customFormat="1" ht="47.25" customHeight="1" x14ac:dyDescent="0.2">
      <c r="A21" s="2504" t="s">
        <v>362</v>
      </c>
      <c r="B21" s="2505"/>
      <c r="C21" s="632"/>
      <c r="D21" s="632"/>
      <c r="E21" s="188" t="str">
        <f t="shared" si="0"/>
        <v/>
      </c>
      <c r="F21" s="2491"/>
      <c r="G21" s="2492"/>
      <c r="H21" s="632"/>
      <c r="I21" s="632"/>
      <c r="J21" s="188" t="str">
        <f t="shared" si="1"/>
        <v/>
      </c>
      <c r="K21" s="1340"/>
      <c r="L21" s="1034"/>
      <c r="M21" s="88"/>
      <c r="N21" s="88"/>
    </row>
    <row r="22" spans="1:14" s="75" customFormat="1" ht="47.25" customHeight="1" x14ac:dyDescent="0.2">
      <c r="A22" s="2504" t="s">
        <v>363</v>
      </c>
      <c r="B22" s="2505"/>
      <c r="C22" s="632"/>
      <c r="D22" s="632"/>
      <c r="E22" s="188" t="str">
        <f t="shared" si="0"/>
        <v/>
      </c>
      <c r="F22" s="2491"/>
      <c r="G22" s="2492"/>
      <c r="H22" s="632"/>
      <c r="I22" s="632"/>
      <c r="J22" s="188" t="str">
        <f t="shared" si="1"/>
        <v/>
      </c>
      <c r="K22" s="1340"/>
      <c r="L22" s="1034"/>
      <c r="M22" s="88"/>
      <c r="N22" s="88"/>
    </row>
    <row r="23" spans="1:14" s="75" customFormat="1" ht="47.25" customHeight="1" thickBot="1" x14ac:dyDescent="0.25">
      <c r="A23" s="2489" t="s">
        <v>364</v>
      </c>
      <c r="B23" s="2490"/>
      <c r="C23" s="633"/>
      <c r="D23" s="633"/>
      <c r="E23" s="392" t="str">
        <f t="shared" si="0"/>
        <v/>
      </c>
      <c r="F23" s="2487"/>
      <c r="G23" s="2488"/>
      <c r="H23" s="633"/>
      <c r="I23" s="633"/>
      <c r="J23" s="392" t="str">
        <f t="shared" si="1"/>
        <v/>
      </c>
      <c r="K23" s="1341"/>
      <c r="L23" s="1034"/>
      <c r="M23" s="88"/>
      <c r="N23" s="88"/>
    </row>
    <row r="24" spans="1:14" s="75" customFormat="1" ht="47.25" customHeight="1" thickBot="1" x14ac:dyDescent="0.25">
      <c r="A24" s="2533" t="s">
        <v>185</v>
      </c>
      <c r="B24" s="2534"/>
      <c r="C24" s="898">
        <f>SUM(C18:C23)</f>
        <v>0</v>
      </c>
      <c r="D24" s="898">
        <f>SUM(D18:D23)</f>
        <v>0</v>
      </c>
      <c r="E24" s="897">
        <f>SUM(E18:E23)</f>
        <v>0</v>
      </c>
      <c r="F24" s="2535"/>
      <c r="G24" s="2536"/>
      <c r="H24" s="898">
        <f>SUM(H18:H23)</f>
        <v>0</v>
      </c>
      <c r="I24" s="898">
        <f>SUM(I18:I23)</f>
        <v>0</v>
      </c>
      <c r="J24" s="897">
        <f>SUM(J18:J23)</f>
        <v>0</v>
      </c>
      <c r="K24" s="1342"/>
      <c r="L24" s="1034"/>
      <c r="M24" s="88"/>
      <c r="N24" s="88"/>
    </row>
    <row r="25" spans="1:14" s="75" customFormat="1" ht="32.25" customHeight="1" x14ac:dyDescent="0.2">
      <c r="A25" s="1350"/>
      <c r="B25" s="1350"/>
      <c r="C25" s="1351"/>
      <c r="D25" s="1351"/>
      <c r="E25" s="1351"/>
      <c r="F25" s="1352"/>
      <c r="G25" s="1353"/>
      <c r="H25" s="1351"/>
      <c r="I25" s="1351"/>
      <c r="J25" s="1351"/>
      <c r="K25" s="1352"/>
      <c r="L25" s="1034"/>
      <c r="M25" s="88"/>
      <c r="N25" s="88"/>
    </row>
    <row r="26" spans="1:14" s="75" customFormat="1" ht="28.5" customHeight="1" thickBot="1" x14ac:dyDescent="0.25">
      <c r="A26" s="474"/>
      <c r="B26" s="474"/>
      <c r="C26" s="1351"/>
      <c r="D26" s="1351"/>
      <c r="E26" s="1351"/>
      <c r="F26" s="1352"/>
      <c r="G26" s="1354"/>
      <c r="H26" s="1351"/>
      <c r="I26" s="1351"/>
      <c r="J26" s="1351"/>
      <c r="K26" s="1352"/>
      <c r="L26" s="1034"/>
      <c r="M26" s="88"/>
      <c r="N26" s="88"/>
    </row>
    <row r="27" spans="1:14" s="535" customFormat="1" ht="171.75" customHeight="1" thickBot="1" x14ac:dyDescent="0.25">
      <c r="A27" s="2521" t="s">
        <v>228</v>
      </c>
      <c r="B27" s="2522"/>
      <c r="C27" s="1355" t="str">
        <f>'PR_Procurement Info_4'!F11</f>
        <v>No</v>
      </c>
      <c r="D27" s="1356" t="s">
        <v>665</v>
      </c>
      <c r="E27" s="2523" t="s">
        <v>1163</v>
      </c>
      <c r="F27" s="2524"/>
      <c r="G27" s="2524"/>
      <c r="H27" s="2524"/>
      <c r="I27" s="2525"/>
      <c r="J27" s="2525"/>
      <c r="K27" s="2526"/>
      <c r="L27" s="992"/>
      <c r="M27" s="992"/>
      <c r="N27" s="992"/>
    </row>
    <row r="28" spans="1:14" s="75" customFormat="1" ht="24.75" customHeight="1" thickBot="1" x14ac:dyDescent="0.25">
      <c r="A28" s="229"/>
      <c r="B28" s="629"/>
      <c r="C28" s="629"/>
      <c r="D28" s="629"/>
      <c r="E28" s="629"/>
      <c r="F28" s="618"/>
      <c r="G28" s="231"/>
      <c r="H28" s="380"/>
      <c r="I28" s="381"/>
      <c r="J28" s="381"/>
      <c r="K28" s="1037"/>
      <c r="L28" s="1034"/>
      <c r="M28" s="88"/>
      <c r="N28" s="88"/>
    </row>
    <row r="29" spans="1:14" s="75" customFormat="1" ht="38.25" customHeight="1" x14ac:dyDescent="0.2">
      <c r="A29" s="1898" t="s">
        <v>229</v>
      </c>
      <c r="B29" s="2527"/>
      <c r="C29" s="2527"/>
      <c r="D29" s="2527"/>
      <c r="E29" s="2528"/>
      <c r="F29" s="1875" t="s">
        <v>165</v>
      </c>
      <c r="G29" s="1879"/>
      <c r="H29" s="1879"/>
      <c r="I29" s="1879"/>
      <c r="J29" s="1879"/>
      <c r="K29" s="2532"/>
      <c r="L29" s="1034"/>
      <c r="M29" s="88"/>
      <c r="N29" s="88"/>
    </row>
    <row r="30" spans="1:14" s="75" customFormat="1" ht="159.75" customHeight="1" thickBot="1" x14ac:dyDescent="0.25">
      <c r="A30" s="2518" t="str">
        <f>IF('PR_Procurement Info_4'!A14:J14="","",'PR_Procurement Info_4'!A14:J14)</f>
        <v>Due limited staffs in DVED to deal with the procurement of drugs and also with the stringetn rules on drugs procurement of Drug Regulatory Authrity there has been stock out of some of the drugs. But this has not affedted the drugs supply of ARV DRUGS. There is alsoc a need to build the capacity of the staffs in DVED especailly on Global Fund Procurement policies and on the PQR updating.</v>
      </c>
      <c r="B30" s="2519"/>
      <c r="C30" s="2519"/>
      <c r="D30" s="2519"/>
      <c r="E30" s="2520"/>
      <c r="F30" s="2529" t="s">
        <v>1142</v>
      </c>
      <c r="G30" s="2530"/>
      <c r="H30" s="2530"/>
      <c r="I30" s="2530"/>
      <c r="J30" s="2530"/>
      <c r="K30" s="2531"/>
      <c r="L30" s="1034"/>
      <c r="M30" s="88"/>
      <c r="N30" s="88"/>
    </row>
    <row r="31" spans="1:14" s="88" customFormat="1" ht="14.25" x14ac:dyDescent="0.2">
      <c r="A31" s="69"/>
      <c r="B31" s="69"/>
      <c r="C31" s="69"/>
      <c r="D31" s="69"/>
      <c r="E31" s="69"/>
      <c r="F31" s="69"/>
      <c r="G31" s="69"/>
      <c r="H31" s="69"/>
      <c r="I31" s="69"/>
      <c r="J31" s="69"/>
      <c r="K31" s="69"/>
      <c r="L31" s="1034"/>
    </row>
    <row r="32" spans="1:14" s="88" customFormat="1" ht="14.25" x14ac:dyDescent="0.2">
      <c r="L32" s="1034"/>
    </row>
    <row r="33" spans="12:12" s="88" customFormat="1" ht="14.25" x14ac:dyDescent="0.2">
      <c r="L33" s="1034"/>
    </row>
    <row r="34" spans="12:12" s="88" customFormat="1" ht="14.25" x14ac:dyDescent="0.2">
      <c r="L34" s="1034"/>
    </row>
    <row r="35" spans="12:12" s="88" customFormat="1" ht="14.25" x14ac:dyDescent="0.2">
      <c r="L35" s="1034"/>
    </row>
    <row r="36" spans="12:12" s="69" customFormat="1" x14ac:dyDescent="0.2">
      <c r="L36" s="83"/>
    </row>
    <row r="37" spans="12:12" s="69" customFormat="1" x14ac:dyDescent="0.2">
      <c r="L37" s="83"/>
    </row>
  </sheetData>
  <sheetProtection password="92D1" sheet="1" formatCells="0" formatColumns="0" formatRows="0" selectLockedCells="1"/>
  <mergeCells count="34">
    <mergeCell ref="A1:K1"/>
    <mergeCell ref="A3:B3"/>
    <mergeCell ref="C3:I3"/>
    <mergeCell ref="D4:E4"/>
    <mergeCell ref="D5:E5"/>
    <mergeCell ref="A24:B24"/>
    <mergeCell ref="F24:G24"/>
    <mergeCell ref="F21:G21"/>
    <mergeCell ref="A22:B22"/>
    <mergeCell ref="F20:G20"/>
    <mergeCell ref="F22:G22"/>
    <mergeCell ref="A21:B21"/>
    <mergeCell ref="A30:E30"/>
    <mergeCell ref="A27:B27"/>
    <mergeCell ref="E27:K27"/>
    <mergeCell ref="A29:E29"/>
    <mergeCell ref="F30:K30"/>
    <mergeCell ref="F29:K29"/>
    <mergeCell ref="C6:I6"/>
    <mergeCell ref="F23:G23"/>
    <mergeCell ref="A23:B23"/>
    <mergeCell ref="F19:G19"/>
    <mergeCell ref="A18:B18"/>
    <mergeCell ref="F18:G18"/>
    <mergeCell ref="E11:K11"/>
    <mergeCell ref="A16:B16"/>
    <mergeCell ref="A17:B17"/>
    <mergeCell ref="A20:B20"/>
    <mergeCell ref="F17:G17"/>
    <mergeCell ref="A12:B12"/>
    <mergeCell ref="A14:D14"/>
    <mergeCell ref="A15:K15"/>
    <mergeCell ref="E12:K12"/>
    <mergeCell ref="A19:B19"/>
  </mergeCells>
  <phoneticPr fontId="37" type="noConversion"/>
  <conditionalFormatting sqref="F20:G22 F23 E17:F17 F18:F19 K18:K23 C18:D23 C10:L10 H18:I23 H26:I26 C26:D26 K26 F26">
    <cfRule type="cellIs" dxfId="15" priority="5" stopIfTrue="1" operator="lessThan">
      <formula>0</formula>
    </cfRule>
  </conditionalFormatting>
  <conditionalFormatting sqref="F20:G22 F23 J17 E17:F17 K18:K23 F18:F19 C10:E10 H10:L10 H18:I23 H26:I26 K26 F26">
    <cfRule type="cellIs" dxfId="14" priority="6" stopIfTrue="1" operator="lessThan">
      <formula>0</formula>
    </cfRule>
  </conditionalFormatting>
  <conditionalFormatting sqref="F24:F25 K24:K25 C24:D25 H24:I25">
    <cfRule type="cellIs" dxfId="13" priority="1" stopIfTrue="1" operator="lessThan">
      <formula>0</formula>
    </cfRule>
  </conditionalFormatting>
  <conditionalFormatting sqref="F24:F25 K24:K25 H24:I25">
    <cfRule type="cellIs" dxfId="12" priority="2" stopIfTrue="1" operator="lessThan">
      <formula>0</formula>
    </cfRule>
  </conditionalFormatting>
  <dataValidations count="2">
    <dataValidation type="list" allowBlank="1" showInputMessage="1" showErrorMessage="1" sqref="F28 F13:G13 C13 D12 D27">
      <formula1>"Select,Yes,No,N/A"</formula1>
    </dataValidation>
    <dataValidation type="list" allowBlank="1" showInputMessage="1" showErrorMessage="1" sqref="I14 I16">
      <formula1>"Select,Yes,No,Partially,N/A"</formula1>
    </dataValidation>
  </dataValidations>
  <printOptions horizontalCentered="1"/>
  <pageMargins left="0.74803149606299213" right="0.74803149606299213" top="0.19685039370078741" bottom="0.35433070866141736" header="0.15748031496062992" footer="0.15748031496062992"/>
  <pageSetup paperSize="9" scale="55" fitToHeight="0" orientation="landscape" cellComments="asDisplayed" r:id="rId1"/>
  <headerFooter alignWithMargins="0">
    <oddFooter>&amp;L&amp;9&amp;F&amp;C&amp;A&amp;R&amp;9Page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pageSetUpPr fitToPage="1"/>
  </sheetPr>
  <dimension ref="A1:U29"/>
  <sheetViews>
    <sheetView view="pageBreakPreview" topLeftCell="A7" zoomScale="60" zoomScaleNormal="70" zoomScalePageLayoutView="55" workbookViewId="0">
      <selection activeCell="G18" sqref="G18"/>
    </sheetView>
  </sheetViews>
  <sheetFormatPr defaultRowHeight="12.75" x14ac:dyDescent="0.2"/>
  <cols>
    <col min="1" max="1" width="15.42578125" style="69" customWidth="1"/>
    <col min="2" max="2" width="33.140625" style="69" customWidth="1"/>
    <col min="3" max="3" width="25" style="69" customWidth="1"/>
    <col min="4" max="4" width="22.28515625" style="69" customWidth="1"/>
    <col min="5" max="5" width="26.28515625" style="69" customWidth="1"/>
    <col min="6" max="6" width="21.7109375" style="69" customWidth="1"/>
    <col min="7" max="7" width="27.5703125" style="69" customWidth="1"/>
    <col min="8" max="8" width="18.5703125" style="69" customWidth="1"/>
    <col min="9" max="9" width="16.42578125" style="69" customWidth="1"/>
    <col min="10" max="10" width="63" style="1042" customWidth="1"/>
    <col min="11" max="11" width="2.7109375" style="69" customWidth="1"/>
    <col min="12" max="12" width="10" style="69" customWidth="1"/>
    <col min="13" max="16384" width="9.140625" style="69"/>
  </cols>
  <sheetData>
    <row r="1" spans="1:21" ht="23.25" customHeight="1" x14ac:dyDescent="0.35">
      <c r="A1" s="2161" t="s">
        <v>629</v>
      </c>
      <c r="B1" s="2161"/>
      <c r="C1" s="2161"/>
      <c r="D1" s="2161"/>
      <c r="E1" s="2161"/>
      <c r="F1" s="2161"/>
      <c r="G1" s="2161"/>
      <c r="H1" s="2161"/>
      <c r="I1" s="2161"/>
      <c r="J1" s="2161"/>
    </row>
    <row r="2" spans="1:21" ht="18" customHeight="1" thickBot="1" x14ac:dyDescent="0.3">
      <c r="A2" s="98" t="s">
        <v>505</v>
      </c>
      <c r="B2" s="72"/>
      <c r="C2" s="72"/>
      <c r="D2" s="72"/>
      <c r="E2" s="72"/>
      <c r="F2" s="72"/>
      <c r="G2" s="72"/>
      <c r="H2" s="72"/>
      <c r="I2" s="72"/>
      <c r="J2" s="453"/>
    </row>
    <row r="3" spans="1:21" s="220" customFormat="1" ht="27.75" customHeight="1" thickBot="1" x14ac:dyDescent="0.25">
      <c r="A3" s="1742" t="s">
        <v>419</v>
      </c>
      <c r="B3" s="1743"/>
      <c r="C3" s="1803" t="str">
        <f>IF('LFA_Programmatic Progress_1A'!C7="","",'LFA_Programmatic Progress_1A'!C7)</f>
        <v>BTN-607-G03-H</v>
      </c>
      <c r="D3" s="1804"/>
      <c r="E3" s="1804"/>
      <c r="F3" s="1805"/>
      <c r="G3" s="73"/>
      <c r="H3" s="73"/>
      <c r="I3" s="73"/>
      <c r="J3" s="452"/>
    </row>
    <row r="4" spans="1:21" s="220" customFormat="1" ht="15" customHeight="1" x14ac:dyDescent="0.2">
      <c r="A4" s="492" t="s">
        <v>621</v>
      </c>
      <c r="B4" s="512"/>
      <c r="C4" s="53" t="s">
        <v>627</v>
      </c>
      <c r="D4" s="504" t="str">
        <f>IF('LFA_Programmatic Progress_1A'!D12="Select","",'LFA_Programmatic Progress_1A'!D12)</f>
        <v>Quarter</v>
      </c>
      <c r="E4" s="5" t="s">
        <v>628</v>
      </c>
      <c r="F4" s="47">
        <f>IF('LFA_Programmatic Progress_1A'!F12="Select","",'LFA_Programmatic Progress_1A'!F12)</f>
        <v>17</v>
      </c>
      <c r="G4" s="73"/>
      <c r="H4" s="73"/>
      <c r="I4" s="73"/>
      <c r="J4" s="452"/>
    </row>
    <row r="5" spans="1:21" s="220" customFormat="1" ht="15" customHeight="1" x14ac:dyDescent="0.2">
      <c r="A5" s="513" t="s">
        <v>622</v>
      </c>
      <c r="B5" s="40"/>
      <c r="C5" s="54" t="s">
        <v>590</v>
      </c>
      <c r="D5" s="519">
        <f>IF('LFA_Programmatic Progress_1A'!D13="","",'LFA_Programmatic Progress_1A'!D13)</f>
        <v>40940</v>
      </c>
      <c r="E5" s="5" t="s">
        <v>608</v>
      </c>
      <c r="F5" s="520">
        <f>IF('LFA_Programmatic Progress_1A'!F13="","",'LFA_Programmatic Progress_1A'!F13)</f>
        <v>41029</v>
      </c>
      <c r="G5" s="73"/>
      <c r="H5" s="73"/>
      <c r="I5" s="73"/>
      <c r="J5" s="452"/>
    </row>
    <row r="6" spans="1:21" s="220" customFormat="1" ht="15" customHeight="1" thickBot="1" x14ac:dyDescent="0.25">
      <c r="A6" s="55" t="s">
        <v>623</v>
      </c>
      <c r="B6" s="41"/>
      <c r="C6" s="1816">
        <f>IF('LFA_Programmatic Progress_1A'!C14="Select","",'LFA_Programmatic Progress_1A'!C14)</f>
        <v>17</v>
      </c>
      <c r="D6" s="1817"/>
      <c r="E6" s="1817"/>
      <c r="F6" s="1818"/>
      <c r="G6" s="73"/>
      <c r="H6" s="73"/>
      <c r="I6" s="73"/>
      <c r="J6" s="452"/>
    </row>
    <row r="7" spans="1:21" x14ac:dyDescent="0.2">
      <c r="A7" s="72"/>
      <c r="B7" s="72"/>
      <c r="C7" s="72"/>
      <c r="D7" s="72"/>
      <c r="E7" s="72"/>
      <c r="F7" s="72"/>
      <c r="G7" s="72"/>
      <c r="H7" s="72"/>
      <c r="I7" s="72"/>
      <c r="J7" s="453"/>
    </row>
    <row r="8" spans="1:21" ht="15" x14ac:dyDescent="0.2">
      <c r="A8" s="232"/>
      <c r="B8" s="232"/>
      <c r="C8" s="232"/>
      <c r="D8" s="1215"/>
      <c r="E8" s="1215"/>
      <c r="F8" s="1215"/>
      <c r="G8" s="1216"/>
      <c r="H8" s="1216"/>
      <c r="I8" s="634"/>
      <c r="J8" s="1217"/>
    </row>
    <row r="9" spans="1:21" ht="20.25" x14ac:dyDescent="0.3">
      <c r="A9" s="1277" t="s">
        <v>231</v>
      </c>
      <c r="B9" s="1278"/>
      <c r="C9" s="1279"/>
      <c r="D9" s="70"/>
      <c r="E9" s="70"/>
      <c r="F9" s="71"/>
      <c r="G9" s="70"/>
      <c r="H9" s="70"/>
    </row>
    <row r="10" spans="1:21" ht="9" customHeight="1" x14ac:dyDescent="0.25">
      <c r="A10" s="218"/>
      <c r="B10" s="218"/>
      <c r="C10" s="218"/>
      <c r="D10" s="1218"/>
      <c r="E10" s="1218"/>
      <c r="F10" s="1218"/>
      <c r="G10" s="1218"/>
      <c r="H10" s="1218"/>
      <c r="I10" s="1218"/>
      <c r="J10" s="1219"/>
      <c r="K10" s="77"/>
      <c r="L10" s="754"/>
      <c r="M10" s="754"/>
      <c r="N10" s="754"/>
      <c r="O10" s="754"/>
      <c r="P10" s="754"/>
      <c r="Q10" s="754"/>
      <c r="R10" s="754"/>
      <c r="S10" s="754"/>
      <c r="T10" s="754"/>
      <c r="U10" s="754"/>
    </row>
    <row r="11" spans="1:21" ht="69" customHeight="1" x14ac:dyDescent="0.2">
      <c r="A11" s="2552" t="s">
        <v>332</v>
      </c>
      <c r="B11" s="2553"/>
      <c r="C11" s="2553"/>
      <c r="D11" s="2553"/>
      <c r="E11" s="2553"/>
      <c r="F11" s="2553"/>
      <c r="G11" s="2553"/>
      <c r="H11" s="2553"/>
      <c r="I11" s="2553"/>
      <c r="J11" s="2553"/>
      <c r="K11" s="1039"/>
      <c r="L11" s="754"/>
      <c r="M11" s="754"/>
      <c r="N11" s="754"/>
      <c r="O11" s="754"/>
      <c r="P11" s="754"/>
      <c r="Q11" s="754"/>
      <c r="R11" s="754"/>
      <c r="S11" s="754"/>
      <c r="T11" s="754"/>
      <c r="U11" s="754"/>
    </row>
    <row r="12" spans="1:21" ht="9.75" customHeight="1" thickBot="1" x14ac:dyDescent="0.25">
      <c r="A12" s="634"/>
      <c r="B12" s="634"/>
      <c r="C12" s="634"/>
      <c r="D12" s="634"/>
      <c r="E12" s="634"/>
      <c r="F12" s="634"/>
      <c r="G12" s="634"/>
      <c r="H12" s="634"/>
      <c r="I12" s="634"/>
      <c r="J12" s="1038"/>
      <c r="M12" s="754"/>
      <c r="N12" s="754"/>
      <c r="O12" s="754"/>
      <c r="P12" s="754"/>
      <c r="Q12" s="754"/>
      <c r="R12" s="754"/>
    </row>
    <row r="13" spans="1:21" ht="45" customHeight="1" thickBot="1" x14ac:dyDescent="0.25">
      <c r="A13" s="2550" t="s">
        <v>150</v>
      </c>
      <c r="B13" s="2551"/>
      <c r="C13" s="2550" t="s">
        <v>352</v>
      </c>
      <c r="D13" s="2550"/>
      <c r="E13" s="2550"/>
      <c r="F13" s="2550" t="s">
        <v>353</v>
      </c>
      <c r="G13" s="2550"/>
      <c r="H13" s="2550"/>
      <c r="I13" s="2550"/>
      <c r="J13" s="1301" t="s">
        <v>538</v>
      </c>
      <c r="K13" s="220"/>
      <c r="L13" s="754"/>
      <c r="M13" s="754"/>
      <c r="N13" s="754"/>
      <c r="O13" s="754"/>
      <c r="P13" s="754"/>
      <c r="Q13" s="14"/>
      <c r="R13" s="14"/>
      <c r="S13" s="14"/>
    </row>
    <row r="14" spans="1:21" ht="76.5" customHeight="1" x14ac:dyDescent="0.2">
      <c r="A14" s="2545" t="s">
        <v>367</v>
      </c>
      <c r="B14" s="2546"/>
      <c r="C14" s="2547" t="s">
        <v>776</v>
      </c>
      <c r="D14" s="2548"/>
      <c r="E14" s="2549"/>
      <c r="F14" s="2547" t="s">
        <v>1164</v>
      </c>
      <c r="G14" s="2548"/>
      <c r="H14" s="2548"/>
      <c r="I14" s="2549"/>
      <c r="J14" s="1302"/>
      <c r="K14" s="754"/>
      <c r="L14" s="754"/>
      <c r="M14" s="754"/>
      <c r="N14" s="754"/>
      <c r="O14" s="754"/>
    </row>
    <row r="15" spans="1:21" ht="76.5" customHeight="1" x14ac:dyDescent="0.2">
      <c r="A15" s="2545" t="s">
        <v>367</v>
      </c>
      <c r="B15" s="2546"/>
      <c r="C15" s="2547" t="s">
        <v>777</v>
      </c>
      <c r="D15" s="2548"/>
      <c r="E15" s="2549"/>
      <c r="F15" s="2547" t="s">
        <v>1165</v>
      </c>
      <c r="G15" s="2548"/>
      <c r="H15" s="2548"/>
      <c r="I15" s="2549"/>
      <c r="J15" s="1303"/>
      <c r="K15" s="220"/>
    </row>
    <row r="16" spans="1:21" ht="76.5" customHeight="1" thickBot="1" x14ac:dyDescent="0.25">
      <c r="A16" s="2540" t="s">
        <v>607</v>
      </c>
      <c r="B16" s="2541"/>
      <c r="C16" s="2542"/>
      <c r="D16" s="2543"/>
      <c r="E16" s="2544"/>
      <c r="F16" s="2542"/>
      <c r="G16" s="2543"/>
      <c r="H16" s="2543"/>
      <c r="I16" s="2544"/>
      <c r="J16" s="1304"/>
    </row>
    <row r="17" spans="1:10" x14ac:dyDescent="0.2">
      <c r="J17" s="1040"/>
    </row>
    <row r="18" spans="1:10" x14ac:dyDescent="0.2">
      <c r="E18" s="754" t="s">
        <v>286</v>
      </c>
      <c r="J18" s="1040"/>
    </row>
    <row r="19" spans="1:10" hidden="1" x14ac:dyDescent="0.2">
      <c r="A19" s="1041" t="s">
        <v>607</v>
      </c>
      <c r="J19" s="1040"/>
    </row>
    <row r="20" spans="1:10" hidden="1" x14ac:dyDescent="0.2">
      <c r="A20" s="1041" t="s">
        <v>365</v>
      </c>
      <c r="J20" s="1040"/>
    </row>
    <row r="21" spans="1:10" hidden="1" x14ac:dyDescent="0.2">
      <c r="A21" s="1041" t="s">
        <v>366</v>
      </c>
      <c r="J21" s="1040"/>
    </row>
    <row r="22" spans="1:10" hidden="1" x14ac:dyDescent="0.2">
      <c r="J22" s="1040"/>
    </row>
    <row r="23" spans="1:10" hidden="1" x14ac:dyDescent="0.2">
      <c r="A23" s="1041" t="s">
        <v>607</v>
      </c>
      <c r="J23" s="1040"/>
    </row>
    <row r="24" spans="1:10" hidden="1" x14ac:dyDescent="0.2">
      <c r="A24" s="1041" t="s">
        <v>367</v>
      </c>
    </row>
    <row r="25" spans="1:10" hidden="1" x14ac:dyDescent="0.2">
      <c r="A25" s="1041" t="s">
        <v>368</v>
      </c>
    </row>
    <row r="26" spans="1:10" hidden="1" x14ac:dyDescent="0.2">
      <c r="A26" s="1041" t="s">
        <v>369</v>
      </c>
    </row>
    <row r="27" spans="1:10" hidden="1" x14ac:dyDescent="0.2">
      <c r="A27" s="1041" t="s">
        <v>371</v>
      </c>
    </row>
    <row r="28" spans="1:10" hidden="1" x14ac:dyDescent="0.2">
      <c r="A28" s="1041" t="s">
        <v>372</v>
      </c>
    </row>
    <row r="29" spans="1:10" hidden="1" x14ac:dyDescent="0.2"/>
  </sheetData>
  <sheetProtection formatCells="0" formatColumns="0" formatRows="0" insertRows="0"/>
  <mergeCells count="17">
    <mergeCell ref="A1:J1"/>
    <mergeCell ref="A3:B3"/>
    <mergeCell ref="C3:F3"/>
    <mergeCell ref="C6:F6"/>
    <mergeCell ref="A13:B13"/>
    <mergeCell ref="F13:I13"/>
    <mergeCell ref="C13:E13"/>
    <mergeCell ref="A11:J11"/>
    <mergeCell ref="A16:B16"/>
    <mergeCell ref="F16:I16"/>
    <mergeCell ref="C16:E16"/>
    <mergeCell ref="A14:B14"/>
    <mergeCell ref="F15:I15"/>
    <mergeCell ref="C14:E14"/>
    <mergeCell ref="F14:I14"/>
    <mergeCell ref="A15:B15"/>
    <mergeCell ref="C15:E15"/>
  </mergeCells>
  <phoneticPr fontId="37" type="noConversion"/>
  <dataValidations count="1">
    <dataValidation type="list" allowBlank="1" showInputMessage="1" showErrorMessage="1" sqref="A14:B16">
      <formula1>$A$23:$A$28</formula1>
    </dataValidation>
  </dataValidations>
  <printOptions horizontalCentered="1"/>
  <pageMargins left="0.74803149606299213" right="0.74803149606299213" top="0.59055118110236227" bottom="0.59055118110236227" header="0.51181102362204722" footer="0.51181102362204722"/>
  <pageSetup paperSize="9" scale="48" fitToHeight="0" orientation="landscape" cellComments="asDisplayed" r:id="rId1"/>
  <headerFooter>
    <oddFooter>&amp;L&amp;9&amp;F&amp;C&amp;A&amp;R&amp;9Page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pageSetUpPr fitToPage="1"/>
  </sheetPr>
  <dimension ref="A1:K25"/>
  <sheetViews>
    <sheetView view="pageBreakPreview" topLeftCell="A17" zoomScale="70" zoomScaleNormal="85" zoomScaleSheetLayoutView="70" workbookViewId="0">
      <selection activeCell="H38" sqref="H38"/>
    </sheetView>
  </sheetViews>
  <sheetFormatPr defaultRowHeight="12.75" x14ac:dyDescent="0.2"/>
  <cols>
    <col min="1" max="1" width="9.140625" style="69"/>
    <col min="2" max="2" width="22.140625" style="69" customWidth="1"/>
    <col min="3" max="3" width="27" style="69" customWidth="1"/>
    <col min="4" max="4" width="21.140625" style="69" customWidth="1"/>
    <col min="5" max="5" width="17" style="69" customWidth="1"/>
    <col min="6" max="6" width="15.42578125" style="69" customWidth="1"/>
    <col min="7" max="7" width="16.28515625" style="69" customWidth="1"/>
    <col min="8" max="8" width="17.28515625" style="69" customWidth="1"/>
    <col min="9" max="9" width="17.85546875" style="69" customWidth="1"/>
    <col min="10" max="10" width="58.85546875" style="69" customWidth="1"/>
    <col min="11" max="11" width="2" style="69" customWidth="1"/>
    <col min="12" max="16384" width="9.140625" style="69"/>
  </cols>
  <sheetData>
    <row r="1" spans="1:11" ht="24" customHeight="1" x14ac:dyDescent="0.35">
      <c r="A1" s="2161" t="s">
        <v>629</v>
      </c>
      <c r="B1" s="2161"/>
      <c r="C1" s="2161"/>
      <c r="D1" s="2161"/>
      <c r="E1" s="2161"/>
      <c r="F1" s="2161"/>
      <c r="G1" s="2161"/>
      <c r="H1" s="2161"/>
      <c r="I1" s="2161"/>
      <c r="J1" s="553"/>
    </row>
    <row r="2" spans="1:11" ht="27" customHeight="1" thickBot="1" x14ac:dyDescent="0.3">
      <c r="A2" s="98" t="s">
        <v>505</v>
      </c>
      <c r="B2" s="72"/>
      <c r="C2" s="72"/>
      <c r="D2" s="72"/>
      <c r="E2" s="72"/>
      <c r="F2" s="72"/>
      <c r="G2" s="72"/>
      <c r="H2" s="72"/>
      <c r="I2" s="72"/>
      <c r="J2" s="553"/>
    </row>
    <row r="3" spans="1:11" ht="15.75" thickBot="1" x14ac:dyDescent="0.3">
      <c r="A3" s="2125" t="s">
        <v>419</v>
      </c>
      <c r="B3" s="2556"/>
      <c r="C3" s="2126"/>
      <c r="D3" s="2557" t="str">
        <f>IF('LFA_Programmatic Progress_1A'!C7="","",'LFA_Programmatic Progress_1A'!C7)</f>
        <v>BTN-607-G03-H</v>
      </c>
      <c r="E3" s="2558"/>
      <c r="F3" s="2558"/>
      <c r="G3" s="2559"/>
      <c r="H3" s="80"/>
      <c r="I3" s="80"/>
      <c r="J3" s="553"/>
    </row>
    <row r="4" spans="1:11" ht="15" x14ac:dyDescent="0.2">
      <c r="A4" s="493" t="s">
        <v>626</v>
      </c>
      <c r="B4" s="58"/>
      <c r="C4" s="58"/>
      <c r="D4" s="53" t="s">
        <v>627</v>
      </c>
      <c r="E4" s="89" t="str">
        <f>IF('LFA_Programmatic Progress_1A'!D16="Select","",'LFA_Programmatic Progress_1A'!D16)</f>
        <v>Semester</v>
      </c>
      <c r="F4" s="5" t="s">
        <v>628</v>
      </c>
      <c r="G4" s="506">
        <f>IF('LFA_Programmatic Progress_1A'!F16="Select","",'LFA_Programmatic Progress_1A'!F16)</f>
        <v>8</v>
      </c>
      <c r="H4" s="80"/>
      <c r="I4" s="80"/>
      <c r="J4" s="553"/>
    </row>
    <row r="5" spans="1:11" ht="15" x14ac:dyDescent="0.2">
      <c r="A5" s="513" t="s">
        <v>624</v>
      </c>
      <c r="B5" s="58"/>
      <c r="C5" s="59"/>
      <c r="D5" s="54" t="s">
        <v>590</v>
      </c>
      <c r="E5" s="93">
        <f>IF('LFA_Programmatic Progress_1A'!D17="Select","",'LFA_Programmatic Progress_1A'!D17)</f>
        <v>41030</v>
      </c>
      <c r="F5" s="5" t="s">
        <v>608</v>
      </c>
      <c r="G5" s="505">
        <f>IF('LFA_Programmatic Progress_1A'!F17="Select","",'LFA_Programmatic Progress_1A'!F17)</f>
        <v>41213</v>
      </c>
      <c r="H5" s="80"/>
      <c r="I5" s="80"/>
      <c r="J5" s="553"/>
    </row>
    <row r="6" spans="1:11" ht="15.75" thickBot="1" x14ac:dyDescent="0.25">
      <c r="A6" s="55" t="s">
        <v>625</v>
      </c>
      <c r="B6" s="60"/>
      <c r="C6" s="61"/>
      <c r="D6" s="2560">
        <f>IF('LFA_Programmatic Progress_1A'!C18="Select","",'LFA_Programmatic Progress_1A'!C18)</f>
        <v>8</v>
      </c>
      <c r="E6" s="2561"/>
      <c r="F6" s="2561"/>
      <c r="G6" s="2562"/>
      <c r="H6" s="80"/>
      <c r="I6" s="80"/>
      <c r="J6" s="553"/>
    </row>
    <row r="7" spans="1:11" s="754" customFormat="1" ht="15" x14ac:dyDescent="0.2">
      <c r="A7" s="236"/>
      <c r="B7" s="237"/>
      <c r="C7" s="242"/>
      <c r="D7" s="245"/>
      <c r="E7" s="235"/>
      <c r="F7" s="246"/>
      <c r="G7" s="245"/>
      <c r="H7" s="177"/>
      <c r="I7" s="250"/>
      <c r="J7" s="635"/>
    </row>
    <row r="8" spans="1:11" s="754" customFormat="1" ht="20.25" x14ac:dyDescent="0.2">
      <c r="A8" s="165" t="s">
        <v>578</v>
      </c>
      <c r="B8" s="238"/>
      <c r="C8" s="180"/>
      <c r="D8" s="241"/>
      <c r="E8" s="241"/>
      <c r="F8" s="243"/>
      <c r="G8" s="244"/>
      <c r="H8" s="248"/>
      <c r="I8" s="248"/>
      <c r="J8" s="635"/>
    </row>
    <row r="9" spans="1:11" s="754" customFormat="1" ht="15" x14ac:dyDescent="0.2">
      <c r="A9" s="239"/>
      <c r="B9" s="180"/>
      <c r="C9" s="240"/>
      <c r="D9" s="176"/>
      <c r="E9" s="244"/>
      <c r="F9" s="244"/>
      <c r="G9" s="249"/>
      <c r="H9" s="248"/>
      <c r="I9" s="253"/>
      <c r="J9" s="635"/>
    </row>
    <row r="10" spans="1:11" ht="5.25" customHeight="1" x14ac:dyDescent="0.2">
      <c r="A10" s="636"/>
      <c r="B10" s="555"/>
      <c r="C10" s="556"/>
      <c r="D10" s="556"/>
      <c r="E10" s="556"/>
      <c r="F10" s="555"/>
      <c r="G10" s="555"/>
      <c r="H10" s="555"/>
      <c r="I10" s="556"/>
      <c r="J10" s="556"/>
    </row>
    <row r="11" spans="1:11" ht="18" customHeight="1" x14ac:dyDescent="0.25">
      <c r="A11" s="2554" t="s">
        <v>169</v>
      </c>
      <c r="B11" s="2555"/>
      <c r="C11" s="2555"/>
      <c r="D11" s="2555"/>
      <c r="E11" s="2555"/>
      <c r="F11" s="2555"/>
      <c r="G11" s="2555"/>
      <c r="H11" s="2555"/>
      <c r="I11" s="2555"/>
      <c r="J11" s="2555"/>
      <c r="K11" s="992"/>
    </row>
    <row r="12" spans="1:11" ht="13.5" thickBot="1" x14ac:dyDescent="0.25">
      <c r="A12" s="637"/>
      <c r="B12" s="31"/>
      <c r="C12" s="638"/>
      <c r="D12" s="638"/>
      <c r="E12" s="638"/>
      <c r="F12" s="639"/>
      <c r="G12" s="639"/>
      <c r="H12" s="639"/>
      <c r="I12" s="639"/>
      <c r="J12" s="638"/>
    </row>
    <row r="13" spans="1:11" ht="26.25" customHeight="1" x14ac:dyDescent="0.25">
      <c r="A13" s="454"/>
      <c r="B13" s="455"/>
      <c r="C13" s="455"/>
      <c r="D13" s="456"/>
      <c r="E13" s="457"/>
      <c r="F13" s="514" t="s">
        <v>100</v>
      </c>
      <c r="G13" s="514" t="s">
        <v>101</v>
      </c>
      <c r="H13" s="2569" t="s">
        <v>484</v>
      </c>
      <c r="I13" s="2570"/>
      <c r="J13" s="2571"/>
    </row>
    <row r="14" spans="1:11" ht="51" customHeight="1" x14ac:dyDescent="0.2">
      <c r="A14" s="2575" t="s">
        <v>239</v>
      </c>
      <c r="B14" s="2576"/>
      <c r="C14" s="2576"/>
      <c r="D14" s="2576"/>
      <c r="E14" s="2577"/>
      <c r="F14" s="769">
        <f>+'PR_Cash Reconciliation_5A'!M13</f>
        <v>172255.43</v>
      </c>
      <c r="G14" s="770">
        <v>130297</v>
      </c>
      <c r="H14" s="2098" t="s">
        <v>1060</v>
      </c>
      <c r="I14" s="2099"/>
      <c r="J14" s="2572"/>
    </row>
    <row r="15" spans="1:11" ht="39" customHeight="1" x14ac:dyDescent="0.2">
      <c r="A15" s="2586" t="s">
        <v>601</v>
      </c>
      <c r="B15" s="2587"/>
      <c r="C15" s="2587"/>
      <c r="D15" s="2587"/>
      <c r="E15" s="2587"/>
      <c r="F15" s="2584">
        <f>+'PR_Cash Reconciliation_5A'!K15</f>
        <v>0</v>
      </c>
      <c r="G15" s="2588">
        <v>0</v>
      </c>
      <c r="H15" s="2098"/>
      <c r="I15" s="2099"/>
      <c r="J15" s="2572"/>
    </row>
    <row r="16" spans="1:11" ht="39" customHeight="1" x14ac:dyDescent="0.2">
      <c r="A16" s="640"/>
      <c r="B16" s="2578" t="s">
        <v>356</v>
      </c>
      <c r="C16" s="2579"/>
      <c r="D16" s="2579"/>
      <c r="E16" s="2580"/>
      <c r="F16" s="2585"/>
      <c r="G16" s="2589"/>
      <c r="H16" s="2104"/>
      <c r="I16" s="2105"/>
      <c r="J16" s="2573"/>
    </row>
    <row r="17" spans="1:10" s="754" customFormat="1" ht="39" customHeight="1" x14ac:dyDescent="0.2">
      <c r="A17" s="640"/>
      <c r="B17" s="2581" t="s">
        <v>393</v>
      </c>
      <c r="C17" s="2582"/>
      <c r="D17" s="2582"/>
      <c r="E17" s="2583"/>
      <c r="F17" s="486">
        <f>+'PR_Cash Reconciliation_5A'!K16</f>
        <v>0</v>
      </c>
      <c r="G17" s="771">
        <v>0</v>
      </c>
      <c r="H17" s="2347"/>
      <c r="I17" s="2563"/>
      <c r="J17" s="2564"/>
    </row>
    <row r="18" spans="1:10" s="754" customFormat="1" ht="39" customHeight="1" x14ac:dyDescent="0.2">
      <c r="A18" s="640"/>
      <c r="B18" s="2376" t="s">
        <v>166</v>
      </c>
      <c r="C18" s="2376"/>
      <c r="D18" s="2376"/>
      <c r="E18" s="2574"/>
      <c r="F18" s="486">
        <f>+'PR_Cash Reconciliation_5A'!K17</f>
        <v>0</v>
      </c>
      <c r="G18" s="771">
        <v>0</v>
      </c>
      <c r="H18" s="2098"/>
      <c r="I18" s="2565"/>
      <c r="J18" s="2566"/>
    </row>
    <row r="19" spans="1:10" ht="39" customHeight="1" x14ac:dyDescent="0.2">
      <c r="A19" s="640"/>
      <c r="B19" s="2376" t="s">
        <v>167</v>
      </c>
      <c r="C19" s="2567"/>
      <c r="D19" s="2567"/>
      <c r="E19" s="2568"/>
      <c r="F19" s="486">
        <f>+'PR_Cash Reconciliation_5A'!K18</f>
        <v>0</v>
      </c>
      <c r="G19" s="771">
        <v>0</v>
      </c>
      <c r="H19" s="2347"/>
      <c r="I19" s="2563"/>
      <c r="J19" s="2564"/>
    </row>
    <row r="20" spans="1:10" ht="39" customHeight="1" x14ac:dyDescent="0.2">
      <c r="A20" s="640"/>
      <c r="B20" s="2596" t="s">
        <v>395</v>
      </c>
      <c r="C20" s="2597"/>
      <c r="D20" s="2597"/>
      <c r="E20" s="2597"/>
      <c r="F20" s="772">
        <f>+'PR_Cash Reconciliation_5A'!K19</f>
        <v>0</v>
      </c>
      <c r="G20" s="773">
        <v>0</v>
      </c>
      <c r="H20" s="2347"/>
      <c r="I20" s="2563"/>
      <c r="J20" s="2564"/>
    </row>
    <row r="21" spans="1:10" ht="41.25" customHeight="1" x14ac:dyDescent="0.2">
      <c r="A21" s="641" t="s">
        <v>602</v>
      </c>
      <c r="B21" s="2578" t="s">
        <v>240</v>
      </c>
      <c r="C21" s="2579"/>
      <c r="D21" s="2579"/>
      <c r="E21" s="2579"/>
      <c r="F21" s="774">
        <f>+'PR_Cash Reconciliation_5A'!K22</f>
        <v>89021.549999999988</v>
      </c>
      <c r="G21" s="775">
        <v>115743</v>
      </c>
      <c r="H21" s="2347" t="s">
        <v>1061</v>
      </c>
      <c r="I21" s="2563"/>
      <c r="J21" s="2564"/>
    </row>
    <row r="22" spans="1:10" ht="41.25" customHeight="1" x14ac:dyDescent="0.2">
      <c r="A22" s="640"/>
      <c r="B22" s="2593" t="s">
        <v>397</v>
      </c>
      <c r="C22" s="2594"/>
      <c r="D22" s="2594"/>
      <c r="E22" s="2595"/>
      <c r="F22" s="776">
        <f>+'PR_Cash Reconciliation_5A'!K23</f>
        <v>0</v>
      </c>
      <c r="G22" s="777">
        <v>0</v>
      </c>
      <c r="H22" s="2347"/>
      <c r="I22" s="2563"/>
      <c r="J22" s="2564"/>
    </row>
    <row r="23" spans="1:10" ht="41.25" customHeight="1" x14ac:dyDescent="0.2">
      <c r="A23" s="640"/>
      <c r="B23" s="2600" t="s">
        <v>480</v>
      </c>
      <c r="C23" s="2601"/>
      <c r="D23" s="2601"/>
      <c r="E23" s="2602"/>
      <c r="F23" s="776">
        <f>+'PR_Cash Reconciliation_5A'!K24</f>
        <v>0</v>
      </c>
      <c r="G23" s="778">
        <v>0</v>
      </c>
      <c r="H23" s="2347"/>
      <c r="I23" s="2563"/>
      <c r="J23" s="2564"/>
    </row>
    <row r="24" spans="1:10" ht="51" customHeight="1" thickBot="1" x14ac:dyDescent="0.25">
      <c r="A24" s="2598" t="s">
        <v>482</v>
      </c>
      <c r="B24" s="2378"/>
      <c r="C24" s="2378"/>
      <c r="D24" s="2378"/>
      <c r="E24" s="2599"/>
      <c r="F24" s="1305">
        <f>+F14+F15+F17+F18+F19+F20-F21-F22-F23</f>
        <v>83233.88</v>
      </c>
      <c r="G24" s="485">
        <f>+G14+G15+G17+G18+G19+G20-G21-G22-G23</f>
        <v>14554</v>
      </c>
      <c r="H24" s="2590" t="s">
        <v>1069</v>
      </c>
      <c r="I24" s="2591"/>
      <c r="J24" s="2592"/>
    </row>
    <row r="25" spans="1:10" ht="12" customHeight="1" x14ac:dyDescent="0.25">
      <c r="A25" s="88"/>
      <c r="B25" s="573"/>
      <c r="C25" s="573"/>
      <c r="D25" s="573"/>
      <c r="E25" s="573"/>
      <c r="F25" s="573"/>
      <c r="G25" s="573"/>
      <c r="H25" s="573"/>
      <c r="I25" s="573"/>
      <c r="J25" s="1043"/>
    </row>
  </sheetData>
  <sheetProtection password="92D1" sheet="1" formatCells="0" formatColumns="0" formatRows="0"/>
  <mergeCells count="29">
    <mergeCell ref="H22:J22"/>
    <mergeCell ref="H24:J24"/>
    <mergeCell ref="B22:E22"/>
    <mergeCell ref="B20:E20"/>
    <mergeCell ref="B21:E21"/>
    <mergeCell ref="H21:J21"/>
    <mergeCell ref="A24:E24"/>
    <mergeCell ref="H20:J20"/>
    <mergeCell ref="B23:E23"/>
    <mergeCell ref="H23:J23"/>
    <mergeCell ref="H19:J19"/>
    <mergeCell ref="H18:J18"/>
    <mergeCell ref="B19:E19"/>
    <mergeCell ref="H13:J13"/>
    <mergeCell ref="H15:J16"/>
    <mergeCell ref="H14:J14"/>
    <mergeCell ref="B18:E18"/>
    <mergeCell ref="H17:J17"/>
    <mergeCell ref="A14:E14"/>
    <mergeCell ref="B16:E16"/>
    <mergeCell ref="B17:E17"/>
    <mergeCell ref="F15:F16"/>
    <mergeCell ref="A15:E15"/>
    <mergeCell ref="G15:G16"/>
    <mergeCell ref="A11:J11"/>
    <mergeCell ref="A1:I1"/>
    <mergeCell ref="A3:C3"/>
    <mergeCell ref="D3:G3"/>
    <mergeCell ref="D6:G6"/>
  </mergeCells>
  <phoneticPr fontId="37" type="noConversion"/>
  <dataValidations count="1">
    <dataValidation type="list" allowBlank="1" showInputMessage="1" showErrorMessage="1" sqref="E4:E5">
      <formula1>"Select,Quarter,Semester"</formula1>
    </dataValidation>
  </dataValidations>
  <printOptions horizontalCentered="1"/>
  <pageMargins left="0.74803149606299213" right="0.74803149606299213" top="0.59055118110236227" bottom="0.59055118110236227" header="0.51181102362204722" footer="0.51181102362204722"/>
  <pageSetup paperSize="9" scale="59" fitToHeight="0" orientation="landscape" cellComments="asDisplayed" r:id="rId1"/>
  <headerFooter alignWithMargins="0">
    <oddFooter>&amp;L&amp;9&amp;F&amp;C&amp;A&amp;R&amp;9Page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7"/>
  <sheetViews>
    <sheetView showGridLines="0" workbookViewId="0">
      <selection activeCell="D4" sqref="D4"/>
    </sheetView>
  </sheetViews>
  <sheetFormatPr defaultColWidth="7.28515625" defaultRowHeight="12.75" x14ac:dyDescent="0.2"/>
  <cols>
    <col min="1" max="1" width="1.5703125" style="1493" customWidth="1"/>
    <col min="2" max="2" width="49.42578125" style="1493" customWidth="1"/>
    <col min="3" max="3" width="11.28515625" style="1493" customWidth="1"/>
    <col min="4" max="4" width="14.140625" style="1493" customWidth="1"/>
    <col min="5" max="5" width="13.85546875" style="1493" customWidth="1"/>
    <col min="6" max="6" width="8.7109375" style="1493" customWidth="1"/>
    <col min="7" max="7" width="2.140625" style="1493" hidden="1" customWidth="1"/>
    <col min="8" max="8" width="15.42578125" style="1493" customWidth="1"/>
    <col min="9" max="9" width="12.5703125" style="1493" customWidth="1"/>
    <col min="10" max="10" width="9.140625" style="1493" customWidth="1"/>
    <col min="11" max="11" width="9.42578125" style="1493" bestFit="1" customWidth="1"/>
    <col min="12" max="16384" width="7.28515625" style="1493"/>
  </cols>
  <sheetData>
    <row r="2" spans="1:13" ht="33" customHeight="1" thickBot="1" x14ac:dyDescent="0.25">
      <c r="A2" s="1494" t="s">
        <v>1007</v>
      </c>
      <c r="B2" s="2605" t="s">
        <v>1019</v>
      </c>
      <c r="C2" s="2605"/>
      <c r="D2" s="2605"/>
      <c r="E2" s="2606"/>
      <c r="F2" s="2603"/>
      <c r="G2" s="2604"/>
      <c r="H2" s="2604"/>
      <c r="I2" s="2604"/>
    </row>
    <row r="3" spans="1:13" ht="21.95" customHeight="1" thickTop="1" x14ac:dyDescent="0.2">
      <c r="A3" s="1495"/>
      <c r="B3" s="1512" t="s">
        <v>1017</v>
      </c>
      <c r="C3" s="1512" t="s">
        <v>1008</v>
      </c>
      <c r="D3" s="1513" t="s">
        <v>1052</v>
      </c>
      <c r="E3" s="1514" t="s">
        <v>655</v>
      </c>
      <c r="F3" s="1496"/>
      <c r="G3" s="1497"/>
      <c r="H3" s="1497"/>
      <c r="I3" s="1497"/>
    </row>
    <row r="4" spans="1:13" ht="24.75" customHeight="1" x14ac:dyDescent="0.2">
      <c r="B4" s="1690" t="s">
        <v>1054</v>
      </c>
      <c r="C4" s="1691"/>
      <c r="D4" s="1692"/>
      <c r="E4" s="1693"/>
      <c r="F4" s="1498"/>
      <c r="G4" s="1499"/>
      <c r="H4" s="1499"/>
      <c r="I4" s="1499"/>
    </row>
    <row r="5" spans="1:13" x14ac:dyDescent="0.2">
      <c r="B5" s="1694" t="s">
        <v>1009</v>
      </c>
      <c r="C5" s="1695">
        <v>45.37</v>
      </c>
      <c r="D5" s="1500">
        <v>5785803.1600000001</v>
      </c>
      <c r="E5" s="1696">
        <f>D5/C5</f>
        <v>127524.86577033284</v>
      </c>
      <c r="F5" s="1498"/>
      <c r="G5" s="1499"/>
      <c r="H5" s="1499"/>
      <c r="I5" s="1499"/>
      <c r="J5" s="1501"/>
    </row>
    <row r="6" spans="1:13" x14ac:dyDescent="0.2">
      <c r="B6" s="1694" t="s">
        <v>1010</v>
      </c>
      <c r="C6" s="1695">
        <v>45.37</v>
      </c>
      <c r="D6" s="1502">
        <v>125382.2</v>
      </c>
      <c r="E6" s="1697">
        <f>D6/C6+8.82</f>
        <v>2772.3686003967382</v>
      </c>
      <c r="F6" s="1498"/>
      <c r="G6" s="1499"/>
      <c r="H6" s="1499"/>
      <c r="I6" s="1499"/>
    </row>
    <row r="7" spans="1:13" ht="20.100000000000001" customHeight="1" x14ac:dyDescent="0.2">
      <c r="B7" s="1698" t="s">
        <v>1011</v>
      </c>
      <c r="C7" s="1699"/>
      <c r="D7" s="1700">
        <f>SUM(D5:D6)</f>
        <v>5911185.3600000003</v>
      </c>
      <c r="E7" s="1701">
        <f>SUM(E5:E6)</f>
        <v>130297.23437072958</v>
      </c>
      <c r="F7" s="1503"/>
      <c r="G7" s="1504"/>
      <c r="H7" s="1504"/>
      <c r="I7" s="1504"/>
    </row>
    <row r="8" spans="1:13" ht="21.6" customHeight="1" x14ac:dyDescent="0.2">
      <c r="B8" s="1702" t="s">
        <v>1053</v>
      </c>
      <c r="C8" s="1703"/>
      <c r="D8" s="1704"/>
      <c r="E8" s="1696"/>
      <c r="F8" s="1498"/>
      <c r="G8" s="1499"/>
      <c r="H8" s="1499"/>
      <c r="I8" s="1499"/>
    </row>
    <row r="9" spans="1:13" ht="18.95" customHeight="1" x14ac:dyDescent="0.2">
      <c r="B9" s="1694" t="s">
        <v>1012</v>
      </c>
      <c r="C9" s="1695">
        <v>45.37</v>
      </c>
      <c r="D9" s="1704">
        <f>'[8]Exp. details'!C234-163808</f>
        <v>3511243.94</v>
      </c>
      <c r="E9" s="1696">
        <f>D9/C9+8.82</f>
        <v>77400.134525016547</v>
      </c>
      <c r="F9" s="1498"/>
      <c r="G9" s="1499"/>
      <c r="H9" s="1499"/>
      <c r="I9" s="1499"/>
      <c r="L9" s="1505"/>
      <c r="M9" s="1501"/>
    </row>
    <row r="10" spans="1:13" ht="17.45" customHeight="1" x14ac:dyDescent="0.2">
      <c r="B10" s="1705" t="s">
        <v>1013</v>
      </c>
      <c r="C10" s="1695">
        <v>45.37</v>
      </c>
      <c r="D10" s="1706">
        <f>'[8]Exp. details'!C235</f>
        <v>1739638</v>
      </c>
      <c r="E10" s="1696">
        <f>D10/C10</f>
        <v>38343.354639629717</v>
      </c>
      <c r="F10" s="1498"/>
      <c r="G10" s="1499"/>
      <c r="H10" s="1499"/>
      <c r="I10" s="1499"/>
      <c r="L10" s="1505"/>
      <c r="M10" s="1501"/>
    </row>
    <row r="11" spans="1:13" ht="16.5" customHeight="1" x14ac:dyDescent="0.2">
      <c r="B11" s="1698" t="s">
        <v>1014</v>
      </c>
      <c r="C11" s="1698"/>
      <c r="D11" s="1707">
        <f>SUM(D9:D10)</f>
        <v>5250881.9399999995</v>
      </c>
      <c r="E11" s="1708">
        <f>SUM(E9:E10)</f>
        <v>115743.48916464626</v>
      </c>
      <c r="F11" s="1503"/>
      <c r="G11" s="1504"/>
      <c r="H11" s="1504"/>
      <c r="I11" s="1504"/>
      <c r="L11" s="1506"/>
      <c r="M11" s="1501"/>
    </row>
    <row r="12" spans="1:13" ht="13.5" thickBot="1" x14ac:dyDescent="0.25">
      <c r="B12" s="1709"/>
      <c r="C12" s="1709"/>
      <c r="D12" s="1710"/>
      <c r="E12" s="1711"/>
      <c r="F12" s="1498"/>
      <c r="G12" s="1499"/>
      <c r="H12" s="1499"/>
      <c r="I12" s="1499"/>
    </row>
    <row r="13" spans="1:13" ht="14.25" thickTop="1" thickBot="1" x14ac:dyDescent="0.25">
      <c r="B13" s="1712" t="s">
        <v>1015</v>
      </c>
      <c r="C13" s="1712"/>
      <c r="D13" s="1713">
        <f>+D7-D11</f>
        <v>660303.42000000086</v>
      </c>
      <c r="E13" s="1714">
        <f>E7-E11</f>
        <v>14553.745206083317</v>
      </c>
      <c r="F13" s="1503"/>
      <c r="G13" s="1504"/>
      <c r="H13" s="1504"/>
      <c r="I13" s="1504"/>
    </row>
    <row r="14" spans="1:13" ht="21" customHeight="1" thickTop="1" x14ac:dyDescent="0.2">
      <c r="B14" s="1715" t="s">
        <v>1018</v>
      </c>
      <c r="C14" s="1695"/>
      <c r="D14" s="1716"/>
      <c r="E14" s="1717"/>
      <c r="F14" s="1507"/>
      <c r="G14" s="1508"/>
      <c r="H14" s="1509"/>
      <c r="I14" s="1509"/>
    </row>
    <row r="15" spans="1:13" x14ac:dyDescent="0.2">
      <c r="B15" s="1694" t="s">
        <v>1055</v>
      </c>
      <c r="C15" s="1695">
        <v>45.37</v>
      </c>
      <c r="D15" s="1704">
        <f>'[8]Exp. details'!H221+163808</f>
        <v>660303.26</v>
      </c>
      <c r="E15" s="1696">
        <v>14553.75</v>
      </c>
      <c r="F15" s="1498"/>
      <c r="G15" s="1509"/>
      <c r="H15" s="1499"/>
      <c r="I15" s="1509"/>
    </row>
    <row r="16" spans="1:13" ht="27.6" customHeight="1" thickBot="1" x14ac:dyDescent="0.25">
      <c r="B16" s="1718" t="s">
        <v>1016</v>
      </c>
      <c r="C16" s="1718"/>
      <c r="D16" s="1719">
        <f>SUM(D15:D15)</f>
        <v>660303.26</v>
      </c>
      <c r="E16" s="1720">
        <f>SUM(E15:E15)</f>
        <v>14553.75</v>
      </c>
      <c r="F16" s="1510"/>
      <c r="G16" s="1511"/>
      <c r="H16" s="1511"/>
      <c r="I16" s="1511"/>
    </row>
    <row r="17" ht="13.5" thickTop="1" x14ac:dyDescent="0.2"/>
  </sheetData>
  <mergeCells count="3">
    <mergeCell ref="F2:G2"/>
    <mergeCell ref="H2:I2"/>
    <mergeCell ref="B2:E2"/>
  </mergeCells>
  <pageMargins left="0.25" right="0.39" top="0.26" bottom="0.37" header="0.19" footer="0.3"/>
  <pageSetup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IT55"/>
  <sheetViews>
    <sheetView view="pageBreakPreview" topLeftCell="C9" zoomScale="70" zoomScaleNormal="60" zoomScaleSheetLayoutView="70" zoomScalePageLayoutView="55" workbookViewId="0">
      <selection activeCell="J50" sqref="J50:O54"/>
    </sheetView>
  </sheetViews>
  <sheetFormatPr defaultRowHeight="12.75" x14ac:dyDescent="0.2"/>
  <cols>
    <col min="1" max="1" width="9.140625" style="69"/>
    <col min="2" max="2" width="34.42578125" style="69" customWidth="1"/>
    <col min="3" max="3" width="10.85546875" style="69" customWidth="1"/>
    <col min="4" max="4" width="8.28515625" style="69" bestFit="1" customWidth="1"/>
    <col min="5" max="5" width="6.140625" style="69" customWidth="1"/>
    <col min="6" max="6" width="16.140625" style="69" customWidth="1"/>
    <col min="7" max="7" width="4.85546875" style="69" customWidth="1"/>
    <col min="8" max="8" width="17" style="69" customWidth="1"/>
    <col min="9" max="9" width="15.42578125" style="69" customWidth="1"/>
    <col min="10" max="10" width="22.7109375" style="69" customWidth="1"/>
    <col min="11" max="11" width="26" style="69" customWidth="1"/>
    <col min="12" max="12" width="3.42578125" style="69" customWidth="1"/>
    <col min="13" max="13" width="19.7109375" style="69" customWidth="1"/>
    <col min="14" max="14" width="2.42578125" style="69" customWidth="1"/>
    <col min="15" max="15" width="23.85546875" style="69" customWidth="1"/>
    <col min="16" max="16" width="17.5703125" style="69" customWidth="1"/>
    <col min="17" max="17" width="7" style="69" customWidth="1"/>
    <col min="18" max="18" width="28.7109375" style="69" customWidth="1"/>
    <col min="19" max="19" width="3.85546875" style="69" customWidth="1"/>
    <col min="20" max="16384" width="9.140625" style="69"/>
  </cols>
  <sheetData>
    <row r="1" spans="1:254" ht="24" customHeight="1" x14ac:dyDescent="0.35">
      <c r="A1" s="2161" t="s">
        <v>629</v>
      </c>
      <c r="B1" s="2161"/>
      <c r="C1" s="2161"/>
      <c r="D1" s="2161"/>
      <c r="E1" s="2161"/>
      <c r="F1" s="2161"/>
      <c r="G1" s="2161"/>
      <c r="H1" s="2161"/>
      <c r="I1" s="2161"/>
      <c r="J1" s="2161"/>
      <c r="K1" s="2161"/>
      <c r="L1" s="2161"/>
      <c r="M1" s="2161"/>
      <c r="N1" s="2161"/>
      <c r="O1" s="2161"/>
      <c r="P1" s="301"/>
      <c r="Q1" s="301"/>
      <c r="R1" s="553"/>
    </row>
    <row r="2" spans="1:254" ht="27" customHeight="1" thickBot="1" x14ac:dyDescent="0.3">
      <c r="A2" s="98" t="s">
        <v>505</v>
      </c>
      <c r="B2" s="72"/>
      <c r="C2" s="72"/>
      <c r="D2" s="72"/>
      <c r="E2" s="72"/>
      <c r="F2" s="72"/>
      <c r="G2" s="72"/>
      <c r="H2" s="72"/>
      <c r="I2" s="72"/>
      <c r="J2" s="72"/>
      <c r="K2" s="72"/>
      <c r="L2" s="72"/>
      <c r="M2" s="72"/>
      <c r="N2" s="72"/>
      <c r="O2" s="72"/>
      <c r="P2" s="301"/>
      <c r="Q2" s="301"/>
      <c r="R2" s="553"/>
    </row>
    <row r="3" spans="1:254" ht="15.75" thickBot="1" x14ac:dyDescent="0.3">
      <c r="A3" s="2125" t="s">
        <v>419</v>
      </c>
      <c r="B3" s="2556"/>
      <c r="C3" s="2556"/>
      <c r="D3" s="2556"/>
      <c r="E3" s="2556"/>
      <c r="F3" s="2557" t="str">
        <f>'LFA_Programmatic Progress_1A'!C7</f>
        <v>BTN-607-G03-H</v>
      </c>
      <c r="G3" s="2558"/>
      <c r="H3" s="2558"/>
      <c r="I3" s="2558"/>
      <c r="J3" s="2559"/>
      <c r="K3" s="80"/>
      <c r="L3" s="80"/>
      <c r="M3" s="75"/>
      <c r="N3" s="80"/>
      <c r="O3" s="80"/>
      <c r="P3" s="301"/>
      <c r="Q3" s="301"/>
      <c r="R3" s="553"/>
    </row>
    <row r="4" spans="1:254" ht="15" x14ac:dyDescent="0.2">
      <c r="A4" s="493" t="s">
        <v>626</v>
      </c>
      <c r="B4" s="58"/>
      <c r="C4" s="58"/>
      <c r="D4" s="58"/>
      <c r="E4" s="58"/>
      <c r="F4" s="54" t="s">
        <v>627</v>
      </c>
      <c r="G4" s="368"/>
      <c r="H4" s="89" t="str">
        <f>IF('LFA_Programmatic Progress_1A'!D16="Select","",'LFA_Programmatic Progress_1A'!D16)</f>
        <v>Semester</v>
      </c>
      <c r="I4" s="5" t="s">
        <v>628</v>
      </c>
      <c r="J4" s="506">
        <f>IF('LFA_Programmatic Progress_1A'!F16="Select","",'LFA_Programmatic Progress_1A'!F16)</f>
        <v>8</v>
      </c>
      <c r="K4" s="80"/>
      <c r="L4" s="80"/>
      <c r="M4" s="80"/>
      <c r="N4" s="80"/>
      <c r="O4" s="80"/>
      <c r="P4" s="301"/>
      <c r="Q4" s="301"/>
      <c r="R4" s="553"/>
    </row>
    <row r="5" spans="1:254" ht="15" x14ac:dyDescent="0.2">
      <c r="A5" s="513" t="s">
        <v>624</v>
      </c>
      <c r="B5" s="58"/>
      <c r="C5" s="58"/>
      <c r="D5" s="58"/>
      <c r="E5" s="58"/>
      <c r="F5" s="54" t="s">
        <v>590</v>
      </c>
      <c r="G5" s="369"/>
      <c r="H5" s="93">
        <f>IF('LFA_Programmatic Progress_1A'!D17="Select","",'LFA_Programmatic Progress_1A'!D17)</f>
        <v>41030</v>
      </c>
      <c r="I5" s="5" t="s">
        <v>608</v>
      </c>
      <c r="J5" s="505">
        <f>IF('LFA_Programmatic Progress_1A'!F17="Select","",'LFA_Programmatic Progress_1A'!F17)</f>
        <v>41213</v>
      </c>
      <c r="K5" s="80"/>
      <c r="L5" s="80"/>
      <c r="M5" s="80"/>
      <c r="N5" s="80"/>
      <c r="O5" s="80"/>
      <c r="P5" s="301"/>
      <c r="Q5" s="301"/>
      <c r="R5" s="553"/>
    </row>
    <row r="6" spans="1:254" ht="15.75" thickBot="1" x14ac:dyDescent="0.25">
      <c r="A6" s="55" t="s">
        <v>625</v>
      </c>
      <c r="B6" s="60"/>
      <c r="C6" s="60"/>
      <c r="D6" s="60"/>
      <c r="E6" s="60"/>
      <c r="F6" s="2560">
        <f>IF('LFA_Programmatic Progress_1A'!C18="Select","",'LFA_Programmatic Progress_1A'!C18)</f>
        <v>8</v>
      </c>
      <c r="G6" s="2561"/>
      <c r="H6" s="2561"/>
      <c r="I6" s="2561"/>
      <c r="J6" s="2562"/>
      <c r="K6" s="80"/>
      <c r="L6" s="80"/>
      <c r="M6" s="80"/>
      <c r="N6" s="80"/>
      <c r="O6" s="80"/>
      <c r="P6" s="301"/>
      <c r="Q6" s="301"/>
      <c r="R6" s="553"/>
    </row>
    <row r="7" spans="1:254" s="857" customFormat="1" ht="15" customHeight="1" thickBot="1" x14ac:dyDescent="0.25">
      <c r="A7" s="2194" t="s">
        <v>589</v>
      </c>
      <c r="B7" s="2446"/>
      <c r="C7" s="2446"/>
      <c r="D7" s="2446"/>
      <c r="E7" s="2195"/>
      <c r="F7" s="2667" t="str">
        <f>IF('PR_Programmatic Progress_1A'!C10="","",'PR_Programmatic Progress_1A'!C10)</f>
        <v>USD</v>
      </c>
      <c r="G7" s="2668"/>
      <c r="H7" s="2668"/>
      <c r="I7" s="2668"/>
      <c r="J7" s="2668"/>
      <c r="K7" s="1127"/>
      <c r="L7" s="858"/>
      <c r="M7" s="858"/>
      <c r="N7" s="858"/>
      <c r="O7" s="858"/>
      <c r="P7" s="858"/>
      <c r="Q7" s="858"/>
      <c r="R7" s="849"/>
      <c r="S7" s="849"/>
      <c r="T7" s="849"/>
      <c r="U7" s="849"/>
      <c r="V7" s="849"/>
      <c r="W7" s="849"/>
      <c r="X7" s="849"/>
      <c r="Y7" s="849"/>
      <c r="Z7" s="849"/>
      <c r="AA7" s="849"/>
      <c r="AB7" s="849"/>
      <c r="AC7" s="849"/>
      <c r="AD7" s="849"/>
      <c r="AE7" s="849"/>
      <c r="AF7" s="849"/>
      <c r="AG7" s="849"/>
      <c r="AH7" s="849"/>
      <c r="AI7" s="849"/>
      <c r="AJ7" s="849"/>
      <c r="AK7" s="849"/>
      <c r="AL7" s="849"/>
      <c r="AM7" s="849"/>
      <c r="AN7" s="849"/>
      <c r="AO7" s="849"/>
      <c r="AP7" s="849"/>
      <c r="AQ7" s="849"/>
      <c r="AR7" s="849"/>
      <c r="AS7" s="849"/>
      <c r="AT7" s="849"/>
      <c r="AU7" s="849"/>
      <c r="AV7" s="849"/>
      <c r="AW7" s="849"/>
      <c r="AX7" s="849"/>
      <c r="AY7" s="849"/>
      <c r="AZ7" s="849"/>
      <c r="BA7" s="849"/>
      <c r="BB7" s="849"/>
      <c r="BC7" s="849"/>
      <c r="BD7" s="849"/>
      <c r="BE7" s="849"/>
      <c r="BF7" s="849"/>
      <c r="BG7" s="849"/>
      <c r="BH7" s="849"/>
      <c r="BI7" s="849"/>
      <c r="BJ7" s="849"/>
      <c r="BK7" s="849"/>
      <c r="BL7" s="849"/>
      <c r="BM7" s="849"/>
      <c r="BN7" s="849"/>
      <c r="BO7" s="849"/>
      <c r="BP7" s="849"/>
      <c r="BQ7" s="849"/>
      <c r="BR7" s="849"/>
      <c r="BS7" s="849"/>
      <c r="BT7" s="849"/>
      <c r="BU7" s="849"/>
      <c r="BV7" s="849"/>
      <c r="BW7" s="849"/>
      <c r="BX7" s="849"/>
      <c r="BY7" s="849"/>
      <c r="BZ7" s="849"/>
      <c r="CA7" s="849"/>
      <c r="CB7" s="849"/>
      <c r="CC7" s="849"/>
      <c r="CD7" s="849"/>
      <c r="CE7" s="849"/>
      <c r="CF7" s="849"/>
      <c r="CG7" s="849"/>
      <c r="CH7" s="849"/>
      <c r="CI7" s="849"/>
      <c r="CJ7" s="849"/>
      <c r="CK7" s="849"/>
      <c r="CL7" s="849"/>
      <c r="CM7" s="849"/>
      <c r="CN7" s="849"/>
      <c r="CO7" s="849"/>
      <c r="CP7" s="849"/>
      <c r="CQ7" s="849"/>
      <c r="CR7" s="849"/>
      <c r="CS7" s="849"/>
      <c r="CT7" s="849"/>
      <c r="CU7" s="849"/>
      <c r="CV7" s="849"/>
      <c r="CW7" s="849"/>
      <c r="CX7" s="849"/>
      <c r="CY7" s="849"/>
      <c r="CZ7" s="849"/>
      <c r="DA7" s="849"/>
      <c r="DB7" s="849"/>
      <c r="DC7" s="849"/>
      <c r="DD7" s="849"/>
      <c r="DE7" s="849"/>
      <c r="DF7" s="849"/>
      <c r="DG7" s="849"/>
      <c r="DH7" s="849"/>
      <c r="DI7" s="849"/>
      <c r="DJ7" s="849"/>
      <c r="DK7" s="849"/>
      <c r="DL7" s="849"/>
      <c r="DM7" s="849"/>
      <c r="DN7" s="849"/>
      <c r="DO7" s="849"/>
      <c r="DP7" s="849"/>
      <c r="DQ7" s="849"/>
      <c r="DR7" s="849"/>
      <c r="DS7" s="849"/>
      <c r="DT7" s="849"/>
      <c r="DU7" s="849"/>
      <c r="DV7" s="849"/>
      <c r="DW7" s="849"/>
      <c r="DX7" s="849"/>
      <c r="DY7" s="849"/>
      <c r="DZ7" s="849"/>
      <c r="EA7" s="849"/>
      <c r="EB7" s="849"/>
      <c r="EC7" s="849"/>
      <c r="ED7" s="849"/>
      <c r="EE7" s="849"/>
      <c r="EF7" s="849"/>
      <c r="EG7" s="849"/>
      <c r="EH7" s="849"/>
      <c r="EI7" s="849"/>
      <c r="EJ7" s="849"/>
      <c r="EK7" s="849"/>
      <c r="EL7" s="849"/>
      <c r="EM7" s="849"/>
      <c r="EN7" s="849"/>
      <c r="EO7" s="849"/>
      <c r="EP7" s="849"/>
      <c r="EQ7" s="849"/>
      <c r="ER7" s="849"/>
      <c r="ES7" s="849"/>
      <c r="ET7" s="849"/>
      <c r="EU7" s="849"/>
      <c r="EV7" s="849"/>
      <c r="EW7" s="849"/>
      <c r="EX7" s="849"/>
      <c r="EY7" s="849"/>
      <c r="EZ7" s="849"/>
      <c r="FA7" s="849"/>
      <c r="FB7" s="849"/>
      <c r="FC7" s="849"/>
      <c r="FD7" s="849"/>
      <c r="FE7" s="849"/>
      <c r="FF7" s="849"/>
      <c r="FG7" s="849"/>
      <c r="FH7" s="849"/>
      <c r="FI7" s="849"/>
      <c r="FJ7" s="849"/>
      <c r="FK7" s="849"/>
      <c r="FL7" s="849"/>
      <c r="FM7" s="849"/>
      <c r="FN7" s="849"/>
      <c r="FO7" s="849"/>
      <c r="FP7" s="849"/>
      <c r="FQ7" s="849"/>
      <c r="FR7" s="849"/>
      <c r="FS7" s="849"/>
      <c r="FT7" s="849"/>
      <c r="FU7" s="849"/>
      <c r="FV7" s="849"/>
      <c r="FW7" s="849"/>
      <c r="FX7" s="849"/>
      <c r="FY7" s="849"/>
      <c r="FZ7" s="849"/>
      <c r="GA7" s="849"/>
      <c r="GB7" s="849"/>
      <c r="GC7" s="849"/>
      <c r="GD7" s="849"/>
      <c r="GE7" s="849"/>
      <c r="GF7" s="849"/>
      <c r="GG7" s="849"/>
      <c r="GH7" s="849"/>
      <c r="GI7" s="849"/>
      <c r="GJ7" s="849"/>
      <c r="GK7" s="849"/>
      <c r="GL7" s="849"/>
      <c r="GM7" s="849"/>
      <c r="GN7" s="849"/>
      <c r="GO7" s="849"/>
      <c r="GP7" s="849"/>
      <c r="GQ7" s="849"/>
      <c r="GR7" s="849"/>
      <c r="GS7" s="849"/>
      <c r="GT7" s="849"/>
      <c r="GU7" s="849"/>
      <c r="GV7" s="849"/>
      <c r="GW7" s="849"/>
      <c r="GX7" s="849"/>
      <c r="GY7" s="849"/>
      <c r="GZ7" s="849"/>
      <c r="HA7" s="849"/>
      <c r="HB7" s="849"/>
      <c r="HC7" s="849"/>
      <c r="HD7" s="849"/>
      <c r="HE7" s="849"/>
      <c r="HF7" s="849"/>
      <c r="HG7" s="849"/>
      <c r="HH7" s="849"/>
      <c r="HI7" s="849"/>
      <c r="HJ7" s="849"/>
      <c r="HK7" s="849"/>
      <c r="HL7" s="849"/>
      <c r="HM7" s="849"/>
      <c r="HN7" s="849"/>
      <c r="HO7" s="849"/>
      <c r="HP7" s="849"/>
      <c r="HQ7" s="849"/>
      <c r="HR7" s="849"/>
      <c r="HS7" s="849"/>
      <c r="HT7" s="849"/>
      <c r="HU7" s="849"/>
      <c r="HV7" s="849"/>
      <c r="HW7" s="849"/>
      <c r="HX7" s="849"/>
      <c r="HY7" s="849"/>
      <c r="HZ7" s="849"/>
      <c r="IA7" s="849"/>
      <c r="IB7" s="849"/>
      <c r="IC7" s="849"/>
      <c r="ID7" s="849"/>
      <c r="IE7" s="849"/>
      <c r="IF7" s="849"/>
      <c r="IG7" s="849"/>
      <c r="IH7" s="849"/>
      <c r="II7" s="849"/>
      <c r="IJ7" s="849"/>
      <c r="IK7" s="849"/>
      <c r="IL7" s="849"/>
      <c r="IM7" s="849"/>
      <c r="IN7" s="849"/>
      <c r="IO7" s="849"/>
      <c r="IP7" s="849"/>
      <c r="IQ7" s="849"/>
      <c r="IR7" s="849"/>
      <c r="IS7" s="849"/>
      <c r="IT7" s="849"/>
    </row>
    <row r="8" spans="1:254" s="754" customFormat="1" ht="15" x14ac:dyDescent="0.2">
      <c r="A8" s="792"/>
      <c r="B8" s="793"/>
      <c r="C8" s="793"/>
      <c r="D8" s="793"/>
      <c r="E8" s="793"/>
      <c r="F8" s="794"/>
      <c r="G8" s="795"/>
      <c r="H8" s="795"/>
      <c r="I8" s="796"/>
      <c r="J8" s="794"/>
      <c r="K8" s="75"/>
      <c r="L8" s="797"/>
      <c r="M8" s="797"/>
      <c r="N8" s="797"/>
      <c r="O8" s="798"/>
      <c r="P8" s="554"/>
      <c r="Q8" s="554"/>
      <c r="R8" s="1013"/>
    </row>
    <row r="9" spans="1:254" s="754" customFormat="1" ht="20.25" x14ac:dyDescent="0.2">
      <c r="A9" s="66" t="s">
        <v>578</v>
      </c>
      <c r="B9" s="799"/>
      <c r="C9" s="800"/>
      <c r="D9" s="800"/>
      <c r="E9" s="800"/>
      <c r="F9" s="801"/>
      <c r="G9" s="801"/>
      <c r="H9" s="801"/>
      <c r="I9" s="802"/>
      <c r="J9" s="803"/>
      <c r="K9" s="804"/>
      <c r="L9" s="804"/>
      <c r="M9" s="614"/>
      <c r="N9" s="804"/>
      <c r="O9" s="804"/>
      <c r="P9" s="554"/>
      <c r="Q9" s="554"/>
      <c r="R9" s="1013"/>
    </row>
    <row r="10" spans="1:254" s="754" customFormat="1" ht="7.5" customHeight="1" x14ac:dyDescent="0.2">
      <c r="A10" s="66"/>
      <c r="B10" s="836"/>
      <c r="C10" s="800"/>
      <c r="D10" s="800"/>
      <c r="E10" s="800"/>
      <c r="F10" s="838"/>
      <c r="G10" s="838"/>
      <c r="H10" s="837"/>
      <c r="I10" s="837"/>
      <c r="J10" s="838"/>
      <c r="K10" s="839"/>
      <c r="L10" s="839"/>
      <c r="M10" s="839"/>
      <c r="N10" s="839"/>
      <c r="O10" s="88"/>
      <c r="P10" s="554"/>
      <c r="Q10" s="554"/>
      <c r="R10" s="1013"/>
    </row>
    <row r="11" spans="1:254" x14ac:dyDescent="0.2">
      <c r="A11" s="760"/>
      <c r="B11" s="634"/>
      <c r="C11" s="634"/>
      <c r="D11" s="634"/>
      <c r="E11" s="634"/>
      <c r="F11" s="72"/>
      <c r="G11" s="72"/>
      <c r="H11" s="840"/>
      <c r="I11" s="634"/>
      <c r="J11" s="634"/>
      <c r="K11" s="634"/>
      <c r="L11" s="72"/>
      <c r="M11" s="759"/>
      <c r="N11" s="72"/>
      <c r="O11" s="759"/>
      <c r="P11" s="805"/>
      <c r="Q11" s="634"/>
      <c r="R11" s="72"/>
    </row>
    <row r="12" spans="1:254" ht="21.75" customHeight="1" x14ac:dyDescent="0.25">
      <c r="A12" s="888" t="s">
        <v>416</v>
      </c>
      <c r="B12" s="503"/>
      <c r="C12" s="503"/>
      <c r="D12" s="503"/>
      <c r="E12" s="503"/>
      <c r="F12" s="503"/>
      <c r="G12" s="503"/>
      <c r="H12" s="503"/>
      <c r="I12" s="503"/>
      <c r="J12" s="503"/>
      <c r="K12" s="503"/>
      <c r="L12" s="503"/>
      <c r="M12" s="503"/>
      <c r="N12" s="503"/>
      <c r="O12" s="503"/>
      <c r="P12" s="503"/>
      <c r="Q12" s="503"/>
      <c r="R12" s="503"/>
    </row>
    <row r="13" spans="1:254" ht="15" x14ac:dyDescent="0.25">
      <c r="A13" s="2669"/>
      <c r="B13" s="2669"/>
      <c r="C13" s="2669"/>
      <c r="D13" s="2669"/>
      <c r="E13" s="2669"/>
      <c r="F13" s="2669"/>
      <c r="G13" s="2669"/>
      <c r="H13" s="2669"/>
      <c r="I13" s="2669"/>
      <c r="J13" s="2669"/>
      <c r="K13" s="2669"/>
      <c r="L13" s="2669"/>
      <c r="M13" s="2669"/>
      <c r="N13" s="2669"/>
      <c r="O13" s="2669"/>
      <c r="P13" s="2669"/>
      <c r="Q13" s="2669"/>
      <c r="R13" s="2669"/>
    </row>
    <row r="14" spans="1:254" ht="15" x14ac:dyDescent="0.25">
      <c r="A14" s="265" t="s">
        <v>609</v>
      </c>
      <c r="B14" s="515"/>
      <c r="C14" s="515"/>
      <c r="D14" s="515"/>
      <c r="E14" s="515"/>
      <c r="F14" s="515"/>
      <c r="G14" s="370"/>
      <c r="H14" s="515"/>
      <c r="I14" s="515"/>
      <c r="J14" s="515"/>
      <c r="K14" s="515"/>
      <c r="L14" s="515"/>
      <c r="M14" s="515"/>
      <c r="N14" s="515"/>
      <c r="O14" s="515"/>
      <c r="P14" s="515"/>
      <c r="Q14" s="515"/>
      <c r="R14" s="335"/>
    </row>
    <row r="15" spans="1:254" ht="15" x14ac:dyDescent="0.25">
      <c r="A15" s="266" t="s">
        <v>357</v>
      </c>
      <c r="B15" s="261"/>
      <c r="C15" s="261"/>
      <c r="D15" s="261"/>
      <c r="E15" s="261"/>
      <c r="F15" s="261"/>
      <c r="G15" s="371"/>
      <c r="H15" s="261"/>
      <c r="I15" s="261"/>
      <c r="J15" s="261"/>
      <c r="K15" s="261"/>
      <c r="L15" s="261"/>
      <c r="M15" s="261"/>
      <c r="N15" s="261"/>
      <c r="O15" s="261"/>
      <c r="P15" s="261"/>
      <c r="Q15" s="261"/>
      <c r="R15" s="1044"/>
    </row>
    <row r="16" spans="1:254" ht="29.25" customHeight="1" x14ac:dyDescent="0.2">
      <c r="A16" s="257" t="s">
        <v>211</v>
      </c>
      <c r="B16" s="276"/>
      <c r="C16" s="92"/>
      <c r="D16" s="92"/>
      <c r="E16" s="92"/>
      <c r="F16" s="267">
        <f>IF('PR_Programmatic Progress_1A'!D17="","",'PR_Programmatic Progress_1A'!D17)</f>
        <v>41030</v>
      </c>
      <c r="G16" s="372"/>
      <c r="H16" s="272" t="s">
        <v>604</v>
      </c>
      <c r="I16" s="267">
        <f>IF('PR_Programmatic Progress_1A'!F17="","",'PR_Programmatic Progress_1A'!F17)</f>
        <v>41213</v>
      </c>
      <c r="J16" s="268"/>
      <c r="K16" s="666" t="s">
        <v>387</v>
      </c>
      <c r="L16" s="642"/>
      <c r="M16" s="437">
        <f>+'PR_Disbursement Request_5B'!K16</f>
        <v>243493</v>
      </c>
      <c r="N16" s="642"/>
      <c r="O16" s="665" t="s">
        <v>103</v>
      </c>
      <c r="P16" s="442">
        <f>+'PR_Disbursement Request_5B'!N16</f>
        <v>433793.12</v>
      </c>
      <c r="Q16" s="443"/>
      <c r="R16" s="1045"/>
    </row>
    <row r="17" spans="1:18" ht="10.5" customHeight="1" x14ac:dyDescent="0.2">
      <c r="A17" s="354"/>
      <c r="B17" s="354"/>
      <c r="C17" s="92"/>
      <c r="D17" s="92"/>
      <c r="E17" s="92"/>
      <c r="F17" s="375"/>
      <c r="G17" s="372"/>
      <c r="H17" s="372"/>
      <c r="I17" s="389"/>
      <c r="J17" s="353"/>
      <c r="K17" s="666"/>
      <c r="L17" s="643"/>
      <c r="M17" s="438"/>
      <c r="N17" s="643"/>
      <c r="O17" s="383"/>
      <c r="P17" s="444"/>
      <c r="Q17" s="445"/>
      <c r="R17" s="1046"/>
    </row>
    <row r="18" spans="1:18" ht="29.25" customHeight="1" x14ac:dyDescent="0.2">
      <c r="A18" s="276"/>
      <c r="B18" s="276"/>
      <c r="C18" s="92"/>
      <c r="D18" s="92"/>
      <c r="E18" s="92"/>
      <c r="F18" s="375"/>
      <c r="G18" s="373"/>
      <c r="H18" s="273"/>
      <c r="I18" s="388"/>
      <c r="J18" s="268"/>
      <c r="K18" s="666" t="s">
        <v>392</v>
      </c>
      <c r="L18" s="643"/>
      <c r="M18" s="439">
        <v>0</v>
      </c>
      <c r="N18" s="643"/>
      <c r="O18" s="383" t="s">
        <v>104</v>
      </c>
      <c r="P18" s="439">
        <v>0</v>
      </c>
      <c r="Q18" s="443"/>
      <c r="R18" s="451"/>
    </row>
    <row r="19" spans="1:18" ht="14.25" x14ac:dyDescent="0.2">
      <c r="A19" s="257" t="s">
        <v>280</v>
      </c>
      <c r="B19" s="276"/>
      <c r="C19" s="709"/>
      <c r="D19" s="709"/>
      <c r="E19" s="709"/>
      <c r="F19" s="275"/>
      <c r="G19" s="374"/>
      <c r="H19" s="263"/>
      <c r="I19" s="274"/>
      <c r="J19" s="268"/>
      <c r="K19" s="1280"/>
      <c r="L19" s="270"/>
      <c r="M19" s="440"/>
      <c r="N19" s="270"/>
      <c r="O19" s="1281"/>
      <c r="P19" s="446"/>
      <c r="Q19" s="447"/>
    </row>
    <row r="20" spans="1:18" ht="28.5" customHeight="1" x14ac:dyDescent="0.2">
      <c r="A20" s="1186" t="s">
        <v>271</v>
      </c>
      <c r="B20" s="276"/>
      <c r="C20" s="92"/>
      <c r="D20" s="92"/>
      <c r="E20" s="92"/>
      <c r="F20" s="267">
        <f>IF(I16="","",I16+1)</f>
        <v>41214</v>
      </c>
      <c r="G20" s="374"/>
      <c r="H20" s="271" t="s">
        <v>604</v>
      </c>
      <c r="I20" s="267">
        <f>IF(F20="","",DATE(YEAR(F20),MONTH(F20)+3,DAY(F20)-1))</f>
        <v>41305</v>
      </c>
      <c r="J20" s="268"/>
      <c r="K20" s="666" t="s">
        <v>387</v>
      </c>
      <c r="L20" s="644"/>
      <c r="M20" s="441">
        <f>+'PR_Disbursement Request_5B'!K18</f>
        <v>82019</v>
      </c>
      <c r="N20" s="644"/>
      <c r="O20" s="1282" t="s">
        <v>103</v>
      </c>
      <c r="P20" s="441">
        <f>+'PR_Disbursement Request_5B'!N18</f>
        <v>82019</v>
      </c>
      <c r="Q20" s="448"/>
    </row>
    <row r="21" spans="1:18" ht="19.5" customHeight="1" x14ac:dyDescent="0.2">
      <c r="A21" s="837"/>
      <c r="B21" s="353"/>
      <c r="C21" s="350"/>
      <c r="D21" s="350"/>
      <c r="E21" s="350"/>
      <c r="F21" s="375"/>
      <c r="G21" s="372"/>
      <c r="H21" s="372"/>
      <c r="I21" s="389"/>
      <c r="J21" s="353"/>
      <c r="K21" s="666"/>
      <c r="L21" s="643"/>
      <c r="M21" s="438"/>
      <c r="N21" s="643"/>
      <c r="O21" s="383"/>
      <c r="P21" s="444"/>
      <c r="Q21" s="449"/>
      <c r="R21" s="1176" t="s">
        <v>550</v>
      </c>
    </row>
    <row r="22" spans="1:18" ht="32.25" customHeight="1" x14ac:dyDescent="0.25">
      <c r="B22" s="268"/>
      <c r="C22" s="353"/>
      <c r="D22" s="353"/>
      <c r="E22" s="353"/>
      <c r="F22" s="268"/>
      <c r="G22" s="268"/>
      <c r="H22" s="268"/>
      <c r="I22" s="268"/>
      <c r="J22" s="268"/>
      <c r="K22" s="666" t="s">
        <v>392</v>
      </c>
      <c r="L22" s="643"/>
      <c r="M22" s="439">
        <v>0</v>
      </c>
      <c r="N22" s="643"/>
      <c r="O22" s="383" t="s">
        <v>104</v>
      </c>
      <c r="P22" s="439">
        <v>0</v>
      </c>
      <c r="Q22" s="450"/>
      <c r="R22" s="1172">
        <f>P16+P20+P26</f>
        <v>515812.12</v>
      </c>
    </row>
    <row r="23" spans="1:18" s="800" customFormat="1" ht="33" customHeight="1" x14ac:dyDescent="0.25">
      <c r="A23" s="257" t="s">
        <v>290</v>
      </c>
      <c r="B23" s="92"/>
      <c r="C23" s="92"/>
      <c r="D23" s="92"/>
      <c r="E23" s="92"/>
      <c r="G23" s="92"/>
      <c r="H23" s="92"/>
      <c r="I23" s="1158"/>
      <c r="J23" s="92"/>
      <c r="K23" s="92"/>
      <c r="L23" s="1159"/>
      <c r="M23" s="1160"/>
      <c r="N23" s="1161"/>
      <c r="O23" s="1159"/>
      <c r="P23" s="830"/>
      <c r="Q23" s="1162"/>
      <c r="R23" s="1283" t="s">
        <v>551</v>
      </c>
    </row>
    <row r="24" spans="1:18" s="800" customFormat="1" ht="31.5" customHeight="1" x14ac:dyDescent="0.25">
      <c r="A24" s="244"/>
      <c r="B24" s="92"/>
      <c r="C24" s="1183"/>
      <c r="D24" s="1166"/>
      <c r="E24" s="1166"/>
      <c r="F24" s="1158"/>
      <c r="G24" s="1158"/>
      <c r="H24" s="92"/>
      <c r="I24" s="92"/>
      <c r="J24" s="1159"/>
      <c r="K24" s="1160"/>
      <c r="L24" s="1161"/>
      <c r="M24" s="1159"/>
      <c r="N24" s="830"/>
      <c r="O24" s="1162"/>
      <c r="R24" s="1172">
        <f>P18+P22+P28</f>
        <v>0</v>
      </c>
    </row>
    <row r="25" spans="1:18" s="800" customFormat="1" ht="12.75" customHeight="1" x14ac:dyDescent="0.25">
      <c r="A25" s="837"/>
      <c r="B25" s="92"/>
      <c r="C25" s="92"/>
      <c r="D25" s="1182"/>
      <c r="E25" s="1166"/>
      <c r="F25" s="1158"/>
      <c r="G25" s="1158"/>
      <c r="H25" s="92"/>
      <c r="I25" s="92"/>
      <c r="J25" s="1159"/>
      <c r="K25" s="1160"/>
      <c r="L25" s="1161"/>
      <c r="M25" s="1159"/>
      <c r="N25" s="830"/>
      <c r="O25" s="1162"/>
      <c r="R25" s="1162"/>
    </row>
    <row r="26" spans="1:18" s="800" customFormat="1" ht="27.75" customHeight="1" x14ac:dyDescent="0.25">
      <c r="A26" s="837" t="s">
        <v>272</v>
      </c>
      <c r="B26" s="92"/>
      <c r="C26" s="92"/>
      <c r="D26" s="92"/>
      <c r="E26" s="92"/>
      <c r="F26" s="334">
        <f>IF(I20="","",I20+1)</f>
        <v>41306</v>
      </c>
      <c r="G26" s="92"/>
      <c r="H26" s="354" t="s">
        <v>604</v>
      </c>
      <c r="I26" s="1164" t="str">
        <f>'PR_Disbursement Request_5B'!H22</f>
        <v/>
      </c>
      <c r="J26" s="92"/>
      <c r="K26" s="92" t="s">
        <v>391</v>
      </c>
      <c r="L26" s="92"/>
      <c r="M26" s="1173">
        <f>'PR_Disbursement Request_5B'!K22</f>
        <v>0</v>
      </c>
      <c r="N26" s="1159"/>
      <c r="O26" s="1160" t="s">
        <v>620</v>
      </c>
      <c r="P26" s="1174">
        <f>'PR_Disbursement Request_5B'!N22</f>
        <v>0</v>
      </c>
      <c r="Q26" s="830"/>
      <c r="R26" s="1162"/>
    </row>
    <row r="27" spans="1:18" ht="12" customHeight="1" x14ac:dyDescent="0.25">
      <c r="A27" s="1163"/>
      <c r="B27" s="350"/>
      <c r="C27" s="350"/>
      <c r="D27" s="350"/>
      <c r="E27" s="350"/>
      <c r="F27" s="350"/>
      <c r="G27" s="350"/>
      <c r="H27" s="350"/>
      <c r="I27" s="666"/>
      <c r="J27" s="643"/>
      <c r="K27" s="1165"/>
      <c r="L27" s="643"/>
      <c r="M27" s="383"/>
      <c r="N27" s="1165"/>
      <c r="O27" s="450"/>
      <c r="P27" s="1162"/>
    </row>
    <row r="28" spans="1:18" ht="32.25" customHeight="1" x14ac:dyDescent="0.25">
      <c r="A28" s="837"/>
      <c r="B28" s="350"/>
      <c r="C28" s="350"/>
      <c r="D28" s="350"/>
      <c r="E28" s="350"/>
      <c r="F28" s="350"/>
      <c r="G28" s="350"/>
      <c r="H28" s="350"/>
      <c r="I28" s="350"/>
      <c r="J28" s="350"/>
      <c r="K28" s="666" t="s">
        <v>392</v>
      </c>
      <c r="L28" s="643"/>
      <c r="M28" s="439">
        <v>0</v>
      </c>
      <c r="N28" s="643"/>
      <c r="O28" s="383" t="s">
        <v>104</v>
      </c>
      <c r="P28" s="439">
        <v>0</v>
      </c>
      <c r="Q28" s="450"/>
      <c r="R28" s="1162"/>
    </row>
    <row r="29" spans="1:18" ht="9.75" customHeight="1" x14ac:dyDescent="0.25">
      <c r="A29" s="837"/>
      <c r="B29" s="350"/>
      <c r="C29" s="350"/>
      <c r="D29" s="350"/>
      <c r="E29" s="350"/>
      <c r="F29" s="350"/>
      <c r="G29" s="350"/>
      <c r="H29" s="350"/>
      <c r="I29" s="350"/>
      <c r="J29" s="350"/>
      <c r="K29" s="666"/>
      <c r="L29" s="643"/>
      <c r="M29" s="1165"/>
      <c r="N29" s="643"/>
      <c r="O29" s="383"/>
      <c r="P29" s="1165"/>
      <c r="Q29" s="450"/>
      <c r="R29" s="1162"/>
    </row>
    <row r="30" spans="1:18" s="1171" customFormat="1" ht="31.5" customHeight="1" x14ac:dyDescent="0.25">
      <c r="A30" s="2665" t="s">
        <v>291</v>
      </c>
      <c r="B30" s="2665"/>
      <c r="C30" s="2665"/>
      <c r="D30" s="2665"/>
      <c r="E30" s="2665"/>
      <c r="F30" s="2665"/>
      <c r="G30" s="2665"/>
      <c r="H30" s="2665"/>
      <c r="I30" s="2665"/>
      <c r="J30" s="2665"/>
      <c r="K30" s="2665"/>
      <c r="L30" s="2665"/>
      <c r="M30" s="2665"/>
      <c r="N30" s="2665"/>
      <c r="O30" s="2665"/>
      <c r="P30" s="2665"/>
      <c r="Q30" s="2666"/>
      <c r="R30" s="1170"/>
    </row>
    <row r="31" spans="1:18" s="1171" customFormat="1" ht="33" customHeight="1" x14ac:dyDescent="0.25">
      <c r="A31" s="2665" t="s">
        <v>273</v>
      </c>
      <c r="B31" s="2665"/>
      <c r="C31" s="2665"/>
      <c r="D31" s="2665"/>
      <c r="E31" s="2665"/>
      <c r="F31" s="2665"/>
      <c r="G31" s="2665"/>
      <c r="H31" s="2665"/>
      <c r="I31" s="2665"/>
      <c r="J31" s="2665"/>
      <c r="K31" s="2665"/>
      <c r="L31" s="2665"/>
      <c r="M31" s="2665"/>
      <c r="N31" s="2665"/>
      <c r="O31" s="2665"/>
      <c r="P31" s="2665"/>
      <c r="Q31" s="2665"/>
      <c r="R31" s="1170"/>
    </row>
    <row r="32" spans="1:18" ht="14.25" x14ac:dyDescent="0.2">
      <c r="A32" s="1167"/>
      <c r="B32" s="350"/>
      <c r="C32" s="350"/>
      <c r="D32" s="350"/>
      <c r="E32" s="350"/>
      <c r="F32" s="350"/>
      <c r="G32" s="350"/>
      <c r="H32" s="1168"/>
      <c r="I32" s="1168"/>
      <c r="J32" s="1168"/>
      <c r="K32" s="350"/>
      <c r="L32" s="1169"/>
      <c r="M32" s="1169"/>
      <c r="N32" s="1169"/>
      <c r="O32" s="1169"/>
      <c r="P32" s="1169"/>
      <c r="Q32" s="1169"/>
      <c r="R32" s="1169"/>
    </row>
    <row r="33" spans="1:18" ht="20.25" customHeight="1" x14ac:dyDescent="0.2">
      <c r="A33" s="2659" t="s">
        <v>499</v>
      </c>
      <c r="B33" s="2660"/>
      <c r="C33" s="2660"/>
      <c r="D33" s="2660"/>
      <c r="E33" s="2660"/>
      <c r="F33" s="2660"/>
      <c r="G33" s="2661"/>
      <c r="H33" s="2640" t="str">
        <f>IF('PR_Disbursement Request_5B'!I27="","",'PR_Disbursement Request_5B'!I27)</f>
        <v/>
      </c>
      <c r="I33" s="2641"/>
      <c r="J33" s="2641"/>
      <c r="K33" s="2641"/>
      <c r="L33" s="2641"/>
      <c r="M33" s="2641"/>
      <c r="N33" s="2641"/>
      <c r="O33" s="2641"/>
      <c r="P33" s="2641"/>
      <c r="Q33" s="2641"/>
      <c r="R33" s="2642"/>
    </row>
    <row r="34" spans="1:18" ht="93" customHeight="1" x14ac:dyDescent="0.2">
      <c r="A34" s="2662"/>
      <c r="B34" s="2663"/>
      <c r="C34" s="2663"/>
      <c r="D34" s="2663"/>
      <c r="E34" s="2663"/>
      <c r="F34" s="2663"/>
      <c r="G34" s="2664"/>
      <c r="H34" s="2643"/>
      <c r="I34" s="2644"/>
      <c r="J34" s="2644"/>
      <c r="K34" s="2644"/>
      <c r="L34" s="2644"/>
      <c r="M34" s="2644"/>
      <c r="N34" s="2644"/>
      <c r="O34" s="2644"/>
      <c r="P34" s="2644"/>
      <c r="Q34" s="2644"/>
      <c r="R34" s="2645"/>
    </row>
    <row r="35" spans="1:18" ht="152.25" customHeight="1" x14ac:dyDescent="0.2">
      <c r="A35" s="2648" t="s">
        <v>328</v>
      </c>
      <c r="B35" s="2649"/>
      <c r="C35" s="2649"/>
      <c r="D35" s="2649"/>
      <c r="E35" s="2649"/>
      <c r="F35" s="2649"/>
      <c r="G35" s="2650"/>
      <c r="H35" s="2098"/>
      <c r="I35" s="2099"/>
      <c r="J35" s="2099"/>
      <c r="K35" s="2099"/>
      <c r="L35" s="2099"/>
      <c r="M35" s="2099"/>
      <c r="N35" s="2099"/>
      <c r="O35" s="2099"/>
      <c r="P35" s="2099"/>
      <c r="Q35" s="2099"/>
      <c r="R35" s="2100"/>
    </row>
    <row r="36" spans="1:18" ht="97.5" customHeight="1" x14ac:dyDescent="0.2">
      <c r="A36" s="2651"/>
      <c r="B36" s="2652"/>
      <c r="C36" s="2652"/>
      <c r="D36" s="2652"/>
      <c r="E36" s="2652"/>
      <c r="F36" s="2652"/>
      <c r="G36" s="2653"/>
      <c r="H36" s="2104"/>
      <c r="I36" s="2105"/>
      <c r="J36" s="2105"/>
      <c r="K36" s="2105"/>
      <c r="L36" s="2105"/>
      <c r="M36" s="2105"/>
      <c r="N36" s="2105"/>
      <c r="O36" s="2105"/>
      <c r="P36" s="2105"/>
      <c r="Q36" s="2105"/>
      <c r="R36" s="2106"/>
    </row>
    <row r="37" spans="1:18" ht="14.25" x14ac:dyDescent="0.2">
      <c r="A37" s="281"/>
      <c r="B37" s="281"/>
      <c r="C37" s="281"/>
      <c r="D37" s="281"/>
      <c r="E37" s="281"/>
      <c r="F37" s="281"/>
      <c r="G37" s="281"/>
      <c r="H37" s="281"/>
      <c r="I37" s="281"/>
      <c r="J37" s="281"/>
      <c r="K37" s="281"/>
      <c r="L37" s="281"/>
      <c r="M37" s="1306"/>
      <c r="N37" s="281"/>
      <c r="O37" s="281"/>
      <c r="P37" s="1308"/>
      <c r="Q37" s="1306"/>
      <c r="R37" s="1309"/>
    </row>
    <row r="38" spans="1:18" ht="14.25" x14ac:dyDescent="0.2">
      <c r="A38" s="350"/>
      <c r="B38" s="350"/>
      <c r="C38" s="350"/>
      <c r="D38" s="350"/>
      <c r="E38" s="350"/>
      <c r="F38" s="350"/>
      <c r="G38" s="350"/>
      <c r="H38" s="350"/>
      <c r="I38" s="350"/>
      <c r="J38" s="1307"/>
      <c r="K38" s="1307"/>
      <c r="L38" s="1307"/>
      <c r="M38" s="1307"/>
      <c r="N38" s="1307"/>
      <c r="O38" s="1307"/>
      <c r="P38" s="1307"/>
      <c r="Q38" s="1307"/>
      <c r="R38" s="1307"/>
    </row>
    <row r="39" spans="1:18" ht="27.75" customHeight="1" x14ac:dyDescent="0.2">
      <c r="A39" s="2654" t="s">
        <v>602</v>
      </c>
      <c r="B39" s="2617" t="s">
        <v>251</v>
      </c>
      <c r="C39" s="2618"/>
      <c r="D39" s="2618"/>
      <c r="E39" s="2618"/>
      <c r="F39" s="2618"/>
      <c r="G39" s="2618"/>
      <c r="H39" s="2618"/>
      <c r="I39" s="2619"/>
      <c r="J39" s="459" t="s">
        <v>100</v>
      </c>
      <c r="K39" s="1284" t="s">
        <v>101</v>
      </c>
      <c r="L39" s="2631" t="s">
        <v>572</v>
      </c>
      <c r="M39" s="2632"/>
      <c r="N39" s="2632"/>
      <c r="O39" s="2632"/>
      <c r="P39" s="2632"/>
      <c r="Q39" s="2632"/>
      <c r="R39" s="2633"/>
    </row>
    <row r="40" spans="1:18" ht="42" customHeight="1" x14ac:dyDescent="0.2">
      <c r="A40" s="2655"/>
      <c r="B40" s="2620"/>
      <c r="C40" s="2621"/>
      <c r="D40" s="2621"/>
      <c r="E40" s="2621"/>
      <c r="F40" s="2621"/>
      <c r="G40" s="2621"/>
      <c r="H40" s="2621"/>
      <c r="I40" s="2622"/>
      <c r="J40" s="787">
        <f>+'LFA_Cash Reconciliation_5A'!F24</f>
        <v>83233.88</v>
      </c>
      <c r="K40" s="787">
        <f>+'LFA_Cash Reconciliation_5A'!G24</f>
        <v>14554</v>
      </c>
      <c r="L40" s="2364" t="s">
        <v>1070</v>
      </c>
      <c r="M40" s="2646"/>
      <c r="N40" s="2646"/>
      <c r="O40" s="2646"/>
      <c r="P40" s="2646"/>
      <c r="Q40" s="2646"/>
      <c r="R40" s="2647"/>
    </row>
    <row r="41" spans="1:18" ht="39" customHeight="1" x14ac:dyDescent="0.2">
      <c r="A41" s="2655"/>
      <c r="B41" s="2629" t="s">
        <v>232</v>
      </c>
      <c r="C41" s="2630"/>
      <c r="D41" s="2630"/>
      <c r="E41" s="2630"/>
      <c r="F41" s="2630"/>
      <c r="G41" s="2630"/>
      <c r="H41" s="2630"/>
      <c r="I41" s="2630"/>
      <c r="J41" s="788">
        <f>+'PR_Disbursement Request_5B'!N33</f>
        <v>0</v>
      </c>
      <c r="K41" s="789">
        <v>0</v>
      </c>
      <c r="L41" s="2634"/>
      <c r="M41" s="2635"/>
      <c r="N41" s="2635"/>
      <c r="O41" s="2635"/>
      <c r="P41" s="2635"/>
      <c r="Q41" s="2635"/>
      <c r="R41" s="2636"/>
    </row>
    <row r="42" spans="1:18" ht="39" customHeight="1" x14ac:dyDescent="0.2">
      <c r="A42" s="2656"/>
      <c r="B42" s="2657" t="s">
        <v>233</v>
      </c>
      <c r="C42" s="2658"/>
      <c r="D42" s="2658"/>
      <c r="E42" s="2658"/>
      <c r="F42" s="2658"/>
      <c r="G42" s="2658"/>
      <c r="H42" s="2658"/>
      <c r="I42" s="2658"/>
      <c r="J42" s="790">
        <f>+'PR_Disbursement Request_5B'!N34</f>
        <v>0</v>
      </c>
      <c r="K42" s="791">
        <v>0</v>
      </c>
      <c r="L42" s="2634"/>
      <c r="M42" s="2635"/>
      <c r="N42" s="2635"/>
      <c r="O42" s="2635"/>
      <c r="P42" s="2635"/>
      <c r="Q42" s="2635"/>
      <c r="R42" s="2636"/>
    </row>
    <row r="43" spans="1:18" ht="29.25" customHeight="1" x14ac:dyDescent="0.2">
      <c r="A43" s="460"/>
      <c r="B43" s="458"/>
      <c r="C43" s="458"/>
      <c r="D43" s="458"/>
      <c r="E43" s="458"/>
      <c r="F43" s="458"/>
      <c r="G43" s="458"/>
      <c r="H43" s="458"/>
      <c r="I43" s="458"/>
      <c r="J43" s="459" t="s">
        <v>105</v>
      </c>
      <c r="K43" s="1284" t="s">
        <v>106</v>
      </c>
      <c r="L43" s="2637"/>
      <c r="M43" s="2638"/>
      <c r="N43" s="2638"/>
      <c r="O43" s="2638"/>
      <c r="P43" s="2638"/>
      <c r="Q43" s="2638"/>
      <c r="R43" s="2639"/>
    </row>
    <row r="44" spans="1:18" ht="65.25" customHeight="1" x14ac:dyDescent="0.2">
      <c r="A44" s="2607" t="s">
        <v>234</v>
      </c>
      <c r="B44" s="2608"/>
      <c r="C44" s="2608"/>
      <c r="D44" s="2608"/>
      <c r="E44" s="2608"/>
      <c r="F44" s="2608"/>
      <c r="G44" s="2608"/>
      <c r="H44" s="2608"/>
      <c r="I44" s="2608"/>
      <c r="J44" s="484">
        <f>IF(R22=0,0,IF(R22-J40-J41-J42&lt;0,0,R22-J40-J41-J42))</f>
        <v>432578.24</v>
      </c>
      <c r="K44" s="484">
        <f>IF(R24=0,0,IF(R24-K40-K41-K42&lt;0,0,R24-K40-K41-K42))</f>
        <v>0</v>
      </c>
      <c r="L44" s="2623"/>
      <c r="M44" s="2624"/>
      <c r="N44" s="2624"/>
      <c r="O44" s="2624"/>
      <c r="P44" s="2624"/>
      <c r="Q44" s="2624"/>
      <c r="R44" s="2625"/>
    </row>
    <row r="45" spans="1:18" ht="7.5" customHeight="1" x14ac:dyDescent="0.2">
      <c r="A45" s="705"/>
      <c r="B45" s="664"/>
      <c r="C45" s="667"/>
      <c r="D45" s="667"/>
      <c r="E45" s="667"/>
      <c r="F45" s="664"/>
      <c r="G45" s="706"/>
      <c r="H45" s="664"/>
      <c r="I45" s="667"/>
      <c r="J45" s="277"/>
      <c r="K45" s="278"/>
      <c r="L45" s="25"/>
      <c r="M45" s="376"/>
      <c r="N45" s="25"/>
      <c r="O45" s="269"/>
      <c r="P45" s="280"/>
      <c r="Q45" s="25"/>
      <c r="R45" s="269"/>
    </row>
    <row r="46" spans="1:18" ht="26.25" customHeight="1" x14ac:dyDescent="0.25">
      <c r="A46" s="707" t="s">
        <v>215</v>
      </c>
      <c r="B46" s="708"/>
      <c r="C46" s="708"/>
      <c r="D46" s="708"/>
      <c r="E46" s="708"/>
      <c r="F46" s="317"/>
      <c r="G46" s="709"/>
      <c r="H46" s="325"/>
      <c r="I46" s="332"/>
      <c r="J46" s="1055" t="s">
        <v>607</v>
      </c>
      <c r="K46" s="391"/>
      <c r="L46" s="255"/>
      <c r="M46" s="391"/>
      <c r="N46" s="255"/>
      <c r="O46" s="255"/>
      <c r="P46" s="254"/>
      <c r="Q46" s="255"/>
      <c r="R46" s="1047"/>
    </row>
    <row r="47" spans="1:18" ht="26.25" customHeight="1" x14ac:dyDescent="0.2">
      <c r="A47" s="1289" t="s">
        <v>316</v>
      </c>
      <c r="B47" s="705"/>
      <c r="C47" s="705"/>
      <c r="D47" s="92"/>
      <c r="E47" s="92"/>
      <c r="F47" s="351"/>
      <c r="G47" s="351"/>
      <c r="H47" s="711"/>
      <c r="I47" s="712"/>
      <c r="J47" s="1066"/>
      <c r="K47" s="3"/>
      <c r="L47" s="255"/>
      <c r="M47" s="255"/>
      <c r="N47" s="255"/>
      <c r="O47" s="255"/>
      <c r="P47" s="254"/>
      <c r="Q47" s="255"/>
      <c r="R47" s="1047"/>
    </row>
    <row r="48" spans="1:18" ht="27" customHeight="1" x14ac:dyDescent="0.2">
      <c r="A48" s="349"/>
      <c r="B48" s="350"/>
      <c r="C48" s="350"/>
      <c r="D48" s="350"/>
      <c r="E48" s="350"/>
      <c r="F48" s="1187" t="s">
        <v>398</v>
      </c>
      <c r="G48" s="351"/>
      <c r="H48" s="1285" t="s">
        <v>399</v>
      </c>
      <c r="I48" s="1265"/>
      <c r="J48" s="2626" t="s">
        <v>318</v>
      </c>
      <c r="K48" s="2627"/>
      <c r="L48" s="2627"/>
      <c r="M48" s="2627"/>
      <c r="N48" s="2627"/>
      <c r="O48" s="2628"/>
      <c r="P48" s="254"/>
      <c r="Q48" s="255"/>
      <c r="R48" s="1047"/>
    </row>
    <row r="49" spans="1:18" ht="10.5" customHeight="1" thickBot="1" x14ac:dyDescent="0.25">
      <c r="A49" s="349"/>
      <c r="B49" s="350"/>
      <c r="C49" s="350"/>
      <c r="D49" s="350"/>
      <c r="E49" s="350"/>
      <c r="F49" s="351"/>
      <c r="G49" s="351"/>
      <c r="H49" s="645"/>
      <c r="I49" s="352"/>
      <c r="J49" s="282"/>
      <c r="K49" s="72"/>
      <c r="L49" s="358"/>
      <c r="M49" s="358"/>
      <c r="N49" s="358"/>
      <c r="O49" s="358"/>
      <c r="P49" s="348"/>
      <c r="Q49" s="353"/>
      <c r="R49" s="1048"/>
    </row>
    <row r="50" spans="1:18" ht="26.25" customHeight="1" thickBot="1" x14ac:dyDescent="0.25">
      <c r="A50" s="264"/>
      <c r="B50" s="1286" t="s">
        <v>570</v>
      </c>
      <c r="C50" s="1286"/>
      <c r="D50" s="1286"/>
      <c r="E50" s="1286"/>
      <c r="F50" s="779">
        <f>+'PR_Disbursement Request_5B'!G41</f>
        <v>45.7</v>
      </c>
      <c r="G50" s="780"/>
      <c r="H50" s="1065">
        <v>45.37</v>
      </c>
      <c r="I50" s="355"/>
      <c r="J50" s="2609" t="s">
        <v>1062</v>
      </c>
      <c r="K50" s="2610"/>
      <c r="L50" s="2610"/>
      <c r="M50" s="2610"/>
      <c r="N50" s="2610"/>
      <c r="O50" s="2611"/>
      <c r="P50" s="262"/>
      <c r="Q50" s="254"/>
      <c r="R50" s="1049"/>
    </row>
    <row r="51" spans="1:18" ht="8.25" customHeight="1" thickBot="1" x14ac:dyDescent="0.25">
      <c r="A51" s="346"/>
      <c r="B51" s="1287"/>
      <c r="C51" s="1287"/>
      <c r="D51" s="1287"/>
      <c r="E51" s="1287"/>
      <c r="F51" s="781"/>
      <c r="G51" s="781"/>
      <c r="H51" s="782"/>
      <c r="I51" s="510"/>
      <c r="J51" s="2612"/>
      <c r="K51" s="2102"/>
      <c r="L51" s="2102"/>
      <c r="M51" s="2102"/>
      <c r="N51" s="2102"/>
      <c r="O51" s="2613"/>
      <c r="P51" s="357"/>
      <c r="Q51" s="348"/>
      <c r="R51" s="1050"/>
    </row>
    <row r="52" spans="1:18" ht="26.25" customHeight="1" thickBot="1" x14ac:dyDescent="0.25">
      <c r="A52" s="205"/>
      <c r="B52" s="1286" t="s">
        <v>571</v>
      </c>
      <c r="C52" s="1286"/>
      <c r="D52" s="1286"/>
      <c r="E52" s="1286"/>
      <c r="F52" s="783">
        <f>+'PR_Disbursement Request_5B'!G43</f>
        <v>45.7</v>
      </c>
      <c r="G52" s="780"/>
      <c r="H52" s="1065">
        <v>45.37</v>
      </c>
      <c r="I52" s="356"/>
      <c r="J52" s="2612"/>
      <c r="K52" s="2102"/>
      <c r="L52" s="2102"/>
      <c r="M52" s="2102"/>
      <c r="N52" s="2102"/>
      <c r="O52" s="2613"/>
      <c r="P52" s="262"/>
      <c r="Q52" s="254"/>
      <c r="R52" s="1049"/>
    </row>
    <row r="53" spans="1:18" ht="8.25" customHeight="1" thickBot="1" x14ac:dyDescent="0.25">
      <c r="A53" s="21"/>
      <c r="B53" s="1288"/>
      <c r="C53" s="1288"/>
      <c r="D53" s="1288"/>
      <c r="E53" s="1288"/>
      <c r="F53" s="784"/>
      <c r="G53" s="785"/>
      <c r="H53" s="782"/>
      <c r="I53" s="384"/>
      <c r="J53" s="2612"/>
      <c r="K53" s="2102"/>
      <c r="L53" s="2102"/>
      <c r="M53" s="2102"/>
      <c r="N53" s="2102"/>
      <c r="O53" s="2613"/>
      <c r="P53" s="262"/>
      <c r="Q53" s="254"/>
      <c r="R53" s="1049"/>
    </row>
    <row r="54" spans="1:18" ht="26.25" customHeight="1" thickBot="1" x14ac:dyDescent="0.25">
      <c r="A54" s="1051"/>
      <c r="B54" s="2089" t="s">
        <v>394</v>
      </c>
      <c r="C54" s="2090"/>
      <c r="D54" s="2090"/>
      <c r="E54" s="2090"/>
      <c r="F54" s="783">
        <f>+'PR_Disbursement Request_5B'!G45</f>
        <v>45.7</v>
      </c>
      <c r="G54" s="786"/>
      <c r="H54" s="1310">
        <v>45.37</v>
      </c>
      <c r="I54" s="1052"/>
      <c r="J54" s="2614"/>
      <c r="K54" s="2615"/>
      <c r="L54" s="2615"/>
      <c r="M54" s="2615"/>
      <c r="N54" s="2615"/>
      <c r="O54" s="2616"/>
      <c r="P54" s="1053"/>
      <c r="Q54" s="282"/>
      <c r="R54" s="1054"/>
    </row>
    <row r="55" spans="1:18" ht="12" customHeight="1" x14ac:dyDescent="0.2">
      <c r="A55" s="220"/>
      <c r="B55" s="220"/>
      <c r="C55" s="220"/>
      <c r="D55" s="220"/>
      <c r="E55" s="220"/>
      <c r="F55" s="220"/>
      <c r="G55" s="220"/>
      <c r="H55" s="220"/>
      <c r="I55" s="347"/>
      <c r="J55" s="347"/>
      <c r="K55" s="347"/>
      <c r="L55" s="347"/>
      <c r="M55" s="347"/>
      <c r="N55" s="347"/>
      <c r="O55" s="347"/>
      <c r="P55" s="347"/>
      <c r="Q55" s="347"/>
      <c r="R55" s="347"/>
    </row>
  </sheetData>
  <sheetProtection password="92D1" sheet="1" formatCells="0" formatColumns="0" formatRows="0"/>
  <mergeCells count="27">
    <mergeCell ref="A30:Q30"/>
    <mergeCell ref="A7:E7"/>
    <mergeCell ref="F7:J7"/>
    <mergeCell ref="A31:Q31"/>
    <mergeCell ref="A1:O1"/>
    <mergeCell ref="A3:E3"/>
    <mergeCell ref="F3:J3"/>
    <mergeCell ref="F6:J6"/>
    <mergeCell ref="A13:R13"/>
    <mergeCell ref="H33:R34"/>
    <mergeCell ref="L40:R40"/>
    <mergeCell ref="H35:R36"/>
    <mergeCell ref="L42:R42"/>
    <mergeCell ref="A35:G36"/>
    <mergeCell ref="A39:A42"/>
    <mergeCell ref="B42:I42"/>
    <mergeCell ref="A33:G34"/>
    <mergeCell ref="A44:I44"/>
    <mergeCell ref="B54:E54"/>
    <mergeCell ref="J50:O54"/>
    <mergeCell ref="B39:I40"/>
    <mergeCell ref="L44:R44"/>
    <mergeCell ref="J48:O48"/>
    <mergeCell ref="B41:I41"/>
    <mergeCell ref="L39:R39"/>
    <mergeCell ref="L41:R41"/>
    <mergeCell ref="L43:R43"/>
  </mergeCells>
  <phoneticPr fontId="37" type="noConversion"/>
  <conditionalFormatting sqref="F16:F18 F21">
    <cfRule type="cellIs" dxfId="11" priority="3" stopIfTrue="1" operator="equal">
      <formula>$R$5</formula>
    </cfRule>
  </conditionalFormatting>
  <conditionalFormatting sqref="I16">
    <cfRule type="cellIs" dxfId="10" priority="2" stopIfTrue="1" operator="equal">
      <formula>$R$5</formula>
    </cfRule>
  </conditionalFormatting>
  <conditionalFormatting sqref="F20">
    <cfRule type="cellIs" dxfId="9" priority="1" stopIfTrue="1" operator="equal">
      <formula>$R$5</formula>
    </cfRule>
  </conditionalFormatting>
  <dataValidations count="3">
    <dataValidation type="list" allowBlank="1" showInputMessage="1" showErrorMessage="1" sqref="J47 J49">
      <formula1>"Select,Yes,No"</formula1>
    </dataValidation>
    <dataValidation type="list" allowBlank="1" showInputMessage="1" showErrorMessage="1" sqref="J46">
      <formula1>"Select,Yes,No,N/A"</formula1>
    </dataValidation>
    <dataValidation type="list" allowBlank="1" showInputMessage="1" showErrorMessage="1" sqref="H4:H5">
      <formula1>"Select,Quarter,Semester"</formula1>
    </dataValidation>
  </dataValidations>
  <printOptions horizontalCentered="1"/>
  <pageMargins left="0.74803149606299213" right="0.74803149606299213" top="0.59055118110236227" bottom="0.59055118110236227" header="0.51181102362204722" footer="0.51181102362204722"/>
  <pageSetup paperSize="9" scale="47" fitToHeight="0" orientation="landscape" cellComments="asDisplayed" r:id="rId1"/>
  <headerFooter alignWithMargins="0">
    <oddFooter>&amp;L&amp;9&amp;F&amp;C&amp;A&amp;R&amp;9Page &amp;P of &amp;N</oddFooter>
  </headerFooter>
  <rowBreaks count="1" manualBreakCount="1">
    <brk id="37" max="18"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
  <sheetViews>
    <sheetView workbookViewId="0">
      <selection sqref="A1:N24"/>
    </sheetView>
  </sheetViews>
  <sheetFormatPr defaultRowHeight="12.75" x14ac:dyDescent="0.2"/>
  <sheetData/>
  <customSheetViews>
    <customSheetView guid="{E26F941C-F347-432D-B4B3-73B25F002075}" state="hidden">
      <selection sqref="A1:N24"/>
      <pageMargins left="0.7" right="0.7" top="0.75" bottom="0.75" header="0.3" footer="0.3"/>
    </customSheetView>
  </customSheetViews>
  <phoneticPr fontId="35"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X41"/>
  <sheetViews>
    <sheetView view="pageBreakPreview" topLeftCell="A15" zoomScale="90" zoomScaleNormal="75" zoomScaleSheetLayoutView="90" workbookViewId="0">
      <selection activeCell="A19" sqref="A19:K20"/>
    </sheetView>
  </sheetViews>
  <sheetFormatPr defaultRowHeight="12.75" x14ac:dyDescent="0.2"/>
  <cols>
    <col min="1" max="1" width="21.5703125" style="69" customWidth="1"/>
    <col min="2" max="2" width="20.85546875" style="69" customWidth="1"/>
    <col min="3" max="3" width="20.5703125" style="69" customWidth="1"/>
    <col min="4" max="4" width="29.5703125" style="69" customWidth="1"/>
    <col min="5" max="5" width="18.7109375" style="69" customWidth="1"/>
    <col min="6" max="6" width="22" style="69" customWidth="1"/>
    <col min="7" max="7" width="20" style="69" customWidth="1"/>
    <col min="8" max="8" width="21.28515625" style="69" customWidth="1"/>
    <col min="9" max="9" width="6.5703125" style="69" customWidth="1"/>
    <col min="10" max="10" width="6.85546875" style="69" customWidth="1"/>
    <col min="11" max="11" width="11.42578125" style="69" customWidth="1"/>
    <col min="12" max="16384" width="9.140625" style="69"/>
  </cols>
  <sheetData>
    <row r="1" spans="1:23" ht="25.5" customHeight="1" x14ac:dyDescent="0.35">
      <c r="A1" s="2161" t="s">
        <v>629</v>
      </c>
      <c r="B1" s="2161"/>
      <c r="C1" s="2161"/>
      <c r="D1" s="2161"/>
      <c r="E1" s="2161"/>
      <c r="F1" s="2161"/>
      <c r="G1" s="2161"/>
      <c r="H1" s="2161"/>
      <c r="I1" s="2161"/>
      <c r="J1" s="2161"/>
    </row>
    <row r="2" spans="1:23" s="14" customFormat="1" ht="27" customHeight="1" thickBot="1" x14ac:dyDescent="0.3">
      <c r="A2" s="98" t="s">
        <v>504</v>
      </c>
      <c r="B2" s="72"/>
      <c r="C2" s="72"/>
      <c r="D2" s="72"/>
      <c r="E2" s="72"/>
      <c r="F2" s="72"/>
      <c r="G2" s="72"/>
      <c r="H2" s="72"/>
      <c r="I2" s="72"/>
      <c r="J2" s="72"/>
      <c r="K2" s="72"/>
      <c r="L2" s="69"/>
      <c r="M2" s="69"/>
      <c r="N2" s="69"/>
      <c r="O2" s="69"/>
      <c r="P2" s="69"/>
      <c r="Q2" s="69"/>
      <c r="R2" s="69"/>
      <c r="S2" s="69"/>
      <c r="T2" s="69"/>
      <c r="U2" s="69"/>
      <c r="V2" s="69"/>
      <c r="W2" s="69"/>
    </row>
    <row r="3" spans="1:23" s="220" customFormat="1" ht="18.75" customHeight="1" thickBot="1" x14ac:dyDescent="0.25">
      <c r="A3" s="1742" t="s">
        <v>419</v>
      </c>
      <c r="B3" s="1743"/>
      <c r="C3" s="1803" t="str">
        <f>IF('LFA_Programmatic Progress_1A'!C7="","",'LFA_Programmatic Progress_1A'!C7)</f>
        <v>BTN-607-G03-H</v>
      </c>
      <c r="D3" s="1804"/>
      <c r="E3" s="1804"/>
      <c r="F3" s="1805"/>
      <c r="G3" s="73"/>
      <c r="H3" s="73"/>
      <c r="I3" s="73"/>
      <c r="J3" s="73"/>
      <c r="K3" s="73"/>
    </row>
    <row r="4" spans="1:23" s="220" customFormat="1" ht="15" customHeight="1" x14ac:dyDescent="0.2">
      <c r="A4" s="492" t="s">
        <v>621</v>
      </c>
      <c r="B4" s="512"/>
      <c r="C4" s="53" t="s">
        <v>627</v>
      </c>
      <c r="D4" s="504" t="str">
        <f>IF('LFA_Programmatic Progress_1A'!D12="Select","",'LFA_Programmatic Progress_1A'!D12)</f>
        <v>Quarter</v>
      </c>
      <c r="E4" s="5" t="s">
        <v>628</v>
      </c>
      <c r="F4" s="47">
        <f>IF('LFA_Programmatic Progress_1A'!F12="Select","",'LFA_Programmatic Progress_1A'!F12)</f>
        <v>17</v>
      </c>
      <c r="G4" s="73"/>
      <c r="H4" s="73"/>
      <c r="I4" s="73"/>
      <c r="J4" s="73"/>
      <c r="K4" s="73"/>
    </row>
    <row r="5" spans="1:23" s="220" customFormat="1" ht="15" customHeight="1" x14ac:dyDescent="0.2">
      <c r="A5" s="513" t="s">
        <v>622</v>
      </c>
      <c r="B5" s="40"/>
      <c r="C5" s="54" t="s">
        <v>590</v>
      </c>
      <c r="D5" s="519">
        <f>IF('LFA_Programmatic Progress_1A'!D13="","",'LFA_Programmatic Progress_1A'!D13)</f>
        <v>40940</v>
      </c>
      <c r="E5" s="5" t="s">
        <v>608</v>
      </c>
      <c r="F5" s="520">
        <f>IF('LFA_Programmatic Progress_1A'!F13="","",'LFA_Programmatic Progress_1A'!F13)</f>
        <v>41029</v>
      </c>
      <c r="G5" s="73"/>
      <c r="H5" s="73"/>
      <c r="I5" s="73"/>
      <c r="J5" s="73"/>
      <c r="K5" s="73"/>
    </row>
    <row r="6" spans="1:23" s="220" customFormat="1" ht="15" customHeight="1" thickBot="1" x14ac:dyDescent="0.25">
      <c r="A6" s="55" t="s">
        <v>623</v>
      </c>
      <c r="B6" s="41"/>
      <c r="C6" s="1816">
        <f>IF('LFA_Programmatic Progress_1A'!C14="Select","",'LFA_Programmatic Progress_1A'!C14)</f>
        <v>17</v>
      </c>
      <c r="D6" s="1817"/>
      <c r="E6" s="1817"/>
      <c r="F6" s="1818"/>
      <c r="G6" s="73"/>
      <c r="H6" s="73"/>
      <c r="I6" s="73"/>
      <c r="J6" s="73"/>
      <c r="K6" s="73"/>
    </row>
    <row r="7" spans="1:23" ht="21" customHeight="1" x14ac:dyDescent="0.2">
      <c r="A7" s="72"/>
      <c r="B7" s="72"/>
      <c r="C7" s="72"/>
      <c r="D7" s="72"/>
      <c r="E7" s="72"/>
      <c r="F7" s="72"/>
      <c r="G7" s="72"/>
      <c r="H7" s="72"/>
      <c r="I7" s="72"/>
      <c r="J7" s="72"/>
      <c r="K7" s="72"/>
    </row>
    <row r="8" spans="1:23" s="1022" customFormat="1" ht="28.5" customHeight="1" x14ac:dyDescent="0.3">
      <c r="A8" s="2684" t="s">
        <v>151</v>
      </c>
      <c r="B8" s="2684"/>
      <c r="C8" s="2684"/>
      <c r="D8" s="2684"/>
      <c r="E8" s="2684"/>
      <c r="F8" s="2685"/>
      <c r="G8" s="234"/>
      <c r="H8" s="217"/>
      <c r="I8" s="217"/>
      <c r="J8" s="217"/>
      <c r="K8" s="1195"/>
    </row>
    <row r="9" spans="1:23" s="1022" customFormat="1" ht="4.5" customHeight="1" thickBot="1" x14ac:dyDescent="0.35">
      <c r="A9" s="233"/>
      <c r="B9" s="233"/>
      <c r="C9" s="233"/>
      <c r="D9" s="233"/>
      <c r="E9" s="233"/>
      <c r="F9" s="233"/>
      <c r="G9" s="219"/>
      <c r="H9" s="219"/>
      <c r="I9" s="219"/>
      <c r="J9" s="219"/>
      <c r="K9" s="1196"/>
    </row>
    <row r="10" spans="1:23" s="1022" customFormat="1" ht="23.25" customHeight="1" x14ac:dyDescent="0.25">
      <c r="A10" s="2681" t="s">
        <v>295</v>
      </c>
      <c r="B10" s="2682"/>
      <c r="C10" s="2682"/>
      <c r="D10" s="2682"/>
      <c r="E10" s="2682"/>
      <c r="F10" s="2682"/>
      <c r="G10" s="2682"/>
      <c r="H10" s="2682"/>
      <c r="I10" s="2682"/>
      <c r="J10" s="2682"/>
      <c r="K10" s="2683"/>
    </row>
    <row r="11" spans="1:23" s="1022" customFormat="1" ht="64.5" customHeight="1" x14ac:dyDescent="0.2">
      <c r="A11" s="2686" t="s">
        <v>296</v>
      </c>
      <c r="B11" s="2687"/>
      <c r="C11" s="2687"/>
      <c r="D11" s="2687"/>
      <c r="E11" s="2687"/>
      <c r="F11" s="2687"/>
      <c r="G11" s="2687"/>
      <c r="H11" s="2687"/>
      <c r="I11" s="2687"/>
      <c r="J11" s="2687"/>
      <c r="K11" s="2687"/>
    </row>
    <row r="12" spans="1:23" s="1022" customFormat="1" ht="15" customHeight="1" x14ac:dyDescent="0.25">
      <c r="A12" s="1188"/>
      <c r="B12" s="1225"/>
      <c r="C12" s="1225"/>
      <c r="D12" s="1225"/>
      <c r="E12" s="1225"/>
      <c r="F12" s="1225"/>
      <c r="G12" s="1225"/>
      <c r="H12" s="1225"/>
      <c r="I12" s="1225"/>
      <c r="J12" s="1225"/>
      <c r="K12" s="1225"/>
    </row>
    <row r="13" spans="1:23" s="1022" customFormat="1" ht="28.5" customHeight="1" x14ac:dyDescent="0.2">
      <c r="A13" s="1194" t="s">
        <v>292</v>
      </c>
      <c r="B13" s="1190" t="s">
        <v>254</v>
      </c>
      <c r="C13" s="1226"/>
      <c r="D13" s="1227" t="s">
        <v>293</v>
      </c>
      <c r="E13" s="1190" t="s">
        <v>607</v>
      </c>
      <c r="F13" s="1226"/>
      <c r="G13" s="1227" t="s">
        <v>294</v>
      </c>
      <c r="H13" s="1190" t="s">
        <v>254</v>
      </c>
      <c r="I13" s="1226"/>
      <c r="J13" s="1226"/>
      <c r="K13" s="1226"/>
    </row>
    <row r="14" spans="1:23" s="1022" customFormat="1" ht="18.75" customHeight="1" thickBot="1" x14ac:dyDescent="0.25">
      <c r="A14" s="1194"/>
      <c r="B14" s="1228"/>
      <c r="C14" s="1226"/>
      <c r="D14" s="1227"/>
      <c r="E14" s="1228"/>
      <c r="F14" s="1226"/>
      <c r="G14" s="1226"/>
      <c r="H14" s="1228"/>
      <c r="I14" s="1226"/>
      <c r="J14" s="1226"/>
      <c r="K14" s="1226"/>
    </row>
    <row r="15" spans="1:23" s="1022" customFormat="1" ht="79.5" customHeight="1" x14ac:dyDescent="0.2">
      <c r="A15" s="2609" t="s">
        <v>1143</v>
      </c>
      <c r="B15" s="2610"/>
      <c r="C15" s="2610"/>
      <c r="D15" s="2610"/>
      <c r="E15" s="2610"/>
      <c r="F15" s="2610"/>
      <c r="G15" s="2610"/>
      <c r="H15" s="2610"/>
      <c r="I15" s="2610"/>
      <c r="J15" s="2610"/>
      <c r="K15" s="2611"/>
    </row>
    <row r="16" spans="1:23" s="1022" customFormat="1" ht="42.75" customHeight="1" thickBot="1" x14ac:dyDescent="0.25">
      <c r="A16" s="2614"/>
      <c r="B16" s="2615"/>
      <c r="C16" s="2615"/>
      <c r="D16" s="2615"/>
      <c r="E16" s="2615"/>
      <c r="F16" s="2615"/>
      <c r="G16" s="2615"/>
      <c r="H16" s="2615"/>
      <c r="I16" s="2615"/>
      <c r="J16" s="2615"/>
      <c r="K16" s="2616"/>
    </row>
    <row r="17" spans="1:16" ht="27" customHeight="1" thickBot="1" x14ac:dyDescent="0.25">
      <c r="A17" s="647"/>
      <c r="B17" s="647"/>
      <c r="C17" s="647"/>
      <c r="D17" s="647"/>
      <c r="E17" s="647"/>
      <c r="F17" s="647"/>
      <c r="G17" s="647"/>
      <c r="H17" s="647"/>
      <c r="I17" s="647"/>
      <c r="J17" s="647"/>
      <c r="K17" s="1197"/>
    </row>
    <row r="18" spans="1:16" s="88" customFormat="1" ht="21.75" customHeight="1" x14ac:dyDescent="0.2">
      <c r="A18" s="2678" t="s">
        <v>634</v>
      </c>
      <c r="B18" s="2679"/>
      <c r="C18" s="2679"/>
      <c r="D18" s="2679"/>
      <c r="E18" s="2679"/>
      <c r="F18" s="2679"/>
      <c r="G18" s="2679"/>
      <c r="H18" s="2679"/>
      <c r="I18" s="2679"/>
      <c r="J18" s="2679"/>
      <c r="K18" s="2680"/>
    </row>
    <row r="19" spans="1:16" s="1022" customFormat="1" ht="35.25" customHeight="1" x14ac:dyDescent="0.2">
      <c r="A19" s="2670" t="s">
        <v>1144</v>
      </c>
      <c r="B19" s="2671"/>
      <c r="C19" s="2671"/>
      <c r="D19" s="2671"/>
      <c r="E19" s="2671"/>
      <c r="F19" s="2671"/>
      <c r="G19" s="2671"/>
      <c r="H19" s="2671"/>
      <c r="I19" s="2671"/>
      <c r="J19" s="2671"/>
      <c r="K19" s="2672"/>
    </row>
    <row r="20" spans="1:16" s="88" customFormat="1" ht="43.5" customHeight="1" thickBot="1" x14ac:dyDescent="0.25">
      <c r="A20" s="2614"/>
      <c r="B20" s="2615"/>
      <c r="C20" s="2615"/>
      <c r="D20" s="2615"/>
      <c r="E20" s="2615"/>
      <c r="F20" s="2615"/>
      <c r="G20" s="2615"/>
      <c r="H20" s="2615"/>
      <c r="I20" s="2615"/>
      <c r="J20" s="2615"/>
      <c r="K20" s="2616"/>
    </row>
    <row r="21" spans="1:16" s="88" customFormat="1" ht="30.75" customHeight="1" thickBot="1" x14ac:dyDescent="0.25">
      <c r="A21" s="646"/>
      <c r="B21" s="646"/>
      <c r="C21" s="646"/>
      <c r="D21" s="646"/>
      <c r="E21" s="646"/>
      <c r="F21" s="646"/>
      <c r="G21" s="646"/>
      <c r="H21" s="646"/>
      <c r="I21" s="646"/>
      <c r="J21" s="646"/>
      <c r="K21" s="1198"/>
    </row>
    <row r="22" spans="1:16" s="88" customFormat="1" ht="24.75" customHeight="1" x14ac:dyDescent="0.2">
      <c r="A22" s="2675" t="s">
        <v>635</v>
      </c>
      <c r="B22" s="2676"/>
      <c r="C22" s="2676"/>
      <c r="D22" s="2676"/>
      <c r="E22" s="2676"/>
      <c r="F22" s="2676"/>
      <c r="G22" s="2676"/>
      <c r="H22" s="2676"/>
      <c r="I22" s="2676"/>
      <c r="J22" s="2676"/>
      <c r="K22" s="2677"/>
    </row>
    <row r="23" spans="1:16" s="1022" customFormat="1" ht="23.25" customHeight="1" x14ac:dyDescent="0.2">
      <c r="A23" s="2670" t="s">
        <v>1145</v>
      </c>
      <c r="B23" s="2671"/>
      <c r="C23" s="2671"/>
      <c r="D23" s="2671"/>
      <c r="E23" s="2671"/>
      <c r="F23" s="2671"/>
      <c r="G23" s="2671"/>
      <c r="H23" s="2671"/>
      <c r="I23" s="2671"/>
      <c r="J23" s="2671"/>
      <c r="K23" s="2672"/>
    </row>
    <row r="24" spans="1:16" s="88" customFormat="1" ht="42.75" customHeight="1" thickBot="1" x14ac:dyDescent="0.25">
      <c r="A24" s="2614"/>
      <c r="B24" s="2615"/>
      <c r="C24" s="2615"/>
      <c r="D24" s="2615"/>
      <c r="E24" s="2615"/>
      <c r="F24" s="2615"/>
      <c r="G24" s="2615"/>
      <c r="H24" s="2615"/>
      <c r="I24" s="2615"/>
      <c r="J24" s="2615"/>
      <c r="K24" s="2616"/>
    </row>
    <row r="25" spans="1:16" hidden="1" x14ac:dyDescent="0.2">
      <c r="A25" s="840"/>
      <c r="B25" s="840"/>
      <c r="C25" s="840"/>
      <c r="D25" s="840"/>
      <c r="E25" s="840"/>
      <c r="F25" s="840"/>
      <c r="G25" s="840"/>
      <c r="H25" s="840"/>
      <c r="I25" s="840"/>
      <c r="J25" s="840"/>
      <c r="K25" s="805"/>
    </row>
    <row r="26" spans="1:16" s="88" customFormat="1" ht="18.75" customHeight="1" x14ac:dyDescent="0.2">
      <c r="A26" s="2673"/>
      <c r="B26" s="2674"/>
      <c r="C26" s="2674"/>
      <c r="D26" s="2674"/>
      <c r="E26" s="2674"/>
      <c r="F26" s="2674"/>
      <c r="G26" s="2674"/>
      <c r="H26" s="2674"/>
      <c r="I26" s="2674"/>
      <c r="J26" s="2674"/>
      <c r="K26" s="2674"/>
    </row>
    <row r="27" spans="1:16" s="88" customFormat="1" ht="18.75" customHeight="1" x14ac:dyDescent="0.25">
      <c r="A27" s="1188"/>
      <c r="B27" s="1188"/>
      <c r="C27" s="1188"/>
      <c r="E27" s="1189"/>
      <c r="F27" s="1189"/>
      <c r="G27" s="1189"/>
      <c r="H27" s="1189"/>
      <c r="I27" s="1189"/>
      <c r="J27" s="1189"/>
      <c r="K27" s="1188"/>
      <c r="L27" s="1188"/>
      <c r="M27" s="1188"/>
      <c r="N27" s="1188"/>
      <c r="O27" s="1188"/>
      <c r="P27" s="1188"/>
    </row>
    <row r="28" spans="1:16" s="88" customFormat="1" ht="25.5" customHeight="1" x14ac:dyDescent="0.25">
      <c r="A28" s="1188"/>
      <c r="B28" s="1166"/>
      <c r="C28" s="1228"/>
      <c r="E28" s="92"/>
      <c r="F28" s="92"/>
      <c r="G28" s="92"/>
      <c r="H28" s="92"/>
      <c r="I28" s="92"/>
      <c r="J28" s="92"/>
      <c r="K28" s="92"/>
      <c r="L28" s="92"/>
      <c r="M28" s="92"/>
      <c r="N28" s="92"/>
    </row>
    <row r="29" spans="1:16" s="88" customFormat="1" ht="6" customHeight="1" x14ac:dyDescent="0.25">
      <c r="A29" s="517"/>
      <c r="C29" s="517"/>
      <c r="D29" s="1177"/>
      <c r="E29" s="92"/>
      <c r="F29" s="92"/>
      <c r="G29" s="92"/>
      <c r="H29" s="92"/>
      <c r="I29" s="92"/>
      <c r="J29" s="92"/>
      <c r="K29" s="92"/>
      <c r="L29" s="92"/>
      <c r="M29" s="92"/>
      <c r="N29" s="92"/>
    </row>
    <row r="30" spans="1:16" s="88" customFormat="1" ht="30" customHeight="1" x14ac:dyDescent="0.25">
      <c r="A30" s="1188"/>
      <c r="B30" s="1191"/>
      <c r="C30" s="1228"/>
      <c r="D30" s="1177"/>
      <c r="E30" s="92"/>
      <c r="F30" s="92"/>
      <c r="G30" s="92"/>
      <c r="H30" s="92"/>
      <c r="I30" s="92"/>
      <c r="J30" s="92"/>
      <c r="K30" s="92"/>
      <c r="L30" s="92"/>
      <c r="M30" s="92"/>
      <c r="N30" s="92"/>
    </row>
    <row r="31" spans="1:16" s="88" customFormat="1" ht="6" customHeight="1" x14ac:dyDescent="0.25">
      <c r="A31" s="517"/>
      <c r="C31" s="517"/>
      <c r="D31" s="1177"/>
      <c r="E31" s="92"/>
      <c r="F31" s="92"/>
      <c r="G31" s="92"/>
      <c r="H31" s="92"/>
      <c r="I31" s="92"/>
      <c r="J31" s="92"/>
      <c r="K31" s="92"/>
      <c r="L31" s="92"/>
      <c r="M31" s="92"/>
      <c r="N31" s="92"/>
    </row>
    <row r="32" spans="1:16" s="88" customFormat="1" ht="25.5" customHeight="1" x14ac:dyDescent="0.25">
      <c r="A32" s="1188"/>
      <c r="B32" s="1166"/>
      <c r="C32" s="1228"/>
      <c r="D32" s="1177"/>
      <c r="E32" s="92"/>
      <c r="F32" s="92"/>
      <c r="G32" s="92"/>
      <c r="H32" s="92"/>
      <c r="I32" s="92"/>
      <c r="J32" s="92"/>
      <c r="K32" s="92"/>
      <c r="L32" s="92"/>
      <c r="M32" s="92"/>
      <c r="N32" s="92"/>
    </row>
    <row r="33" spans="1:24" s="88" customFormat="1" ht="6" customHeight="1" x14ac:dyDescent="0.25">
      <c r="A33" s="517"/>
      <c r="C33" s="517"/>
      <c r="D33" s="1177"/>
      <c r="E33" s="92"/>
      <c r="F33" s="92"/>
      <c r="G33" s="92"/>
      <c r="H33" s="92"/>
      <c r="I33" s="92"/>
      <c r="J33" s="92"/>
      <c r="K33" s="92"/>
      <c r="L33" s="92"/>
      <c r="M33" s="92"/>
      <c r="N33" s="92"/>
    </row>
    <row r="34" spans="1:24" s="88" customFormat="1" ht="15.75" customHeight="1" x14ac:dyDescent="0.25">
      <c r="A34" s="1192"/>
      <c r="B34" s="1193"/>
      <c r="C34" s="1193"/>
      <c r="D34" s="1193"/>
      <c r="E34" s="1194"/>
      <c r="F34" s="1194"/>
      <c r="G34" s="1194"/>
      <c r="H34" s="1194"/>
      <c r="I34" s="1194"/>
      <c r="J34" s="1194"/>
      <c r="K34" s="1194"/>
      <c r="L34" s="1194"/>
      <c r="M34" s="1194"/>
      <c r="N34" s="1194"/>
    </row>
    <row r="35" spans="1:24" ht="15.75" customHeight="1" x14ac:dyDescent="0.3">
      <c r="A35" s="66"/>
      <c r="B35" s="78"/>
      <c r="C35" s="78"/>
      <c r="D35" s="78"/>
      <c r="E35" s="70"/>
      <c r="F35" s="70"/>
      <c r="G35" s="70"/>
      <c r="H35" s="70"/>
      <c r="I35" s="70"/>
      <c r="K35" s="648"/>
      <c r="L35" s="648"/>
      <c r="M35" s="648"/>
      <c r="R35" s="1022"/>
      <c r="S35" s="1022"/>
      <c r="T35" s="1022"/>
      <c r="U35" s="1022"/>
      <c r="V35" s="1022"/>
      <c r="W35" s="1022"/>
      <c r="X35" s="1022"/>
    </row>
    <row r="41" spans="1:24" ht="12" customHeight="1" x14ac:dyDescent="0.2"/>
  </sheetData>
  <sheetProtection password="92D1" sheet="1" formatRows="0"/>
  <customSheetViews>
    <customSheetView guid="{E26F941C-F347-432D-B4B3-73B25F002075}" scale="75" fitToPage="1" topLeftCell="A4">
      <selection activeCell="C10" sqref="C10"/>
      <pageMargins left="0.48" right="0.51" top="0.71" bottom="0.78" header="0.51181102362204722" footer="0.51181102362204722"/>
      <printOptions horizontalCentered="1"/>
      <pageSetup paperSize="9" scale="64" orientation="landscape" cellComments="asDisplayed" r:id="rId1"/>
      <headerFooter alignWithMargins="0">
        <oddFooter>&amp;L&amp;9SD 3.1A - Form, Ongoing DR/PU and LFA Review and Recommendation_v2.1 February 2006&amp;R&amp;9Page &amp;P of &amp;N</oddFooter>
      </headerFooter>
    </customSheetView>
  </customSheetViews>
  <mergeCells count="13">
    <mergeCell ref="A19:K20"/>
    <mergeCell ref="A23:K24"/>
    <mergeCell ref="A26:K26"/>
    <mergeCell ref="A22:K22"/>
    <mergeCell ref="A1:J1"/>
    <mergeCell ref="A3:B3"/>
    <mergeCell ref="C3:F3"/>
    <mergeCell ref="C6:F6"/>
    <mergeCell ref="A18:K18"/>
    <mergeCell ref="A10:K10"/>
    <mergeCell ref="A8:F8"/>
    <mergeCell ref="A11:K11"/>
    <mergeCell ref="A15:K16"/>
  </mergeCells>
  <phoneticPr fontId="29" type="noConversion"/>
  <conditionalFormatting sqref="D29">
    <cfRule type="cellIs" dxfId="8" priority="3" stopIfTrue="1" operator="notEqual">
      <formula>#REF!</formula>
    </cfRule>
  </conditionalFormatting>
  <conditionalFormatting sqref="D31">
    <cfRule type="cellIs" dxfId="7" priority="2" stopIfTrue="1" operator="notEqual">
      <formula>#REF!</formula>
    </cfRule>
  </conditionalFormatting>
  <conditionalFormatting sqref="D33">
    <cfRule type="cellIs" dxfId="6" priority="1" stopIfTrue="1" operator="notEqual">
      <formula>#REF!</formula>
    </cfRule>
  </conditionalFormatting>
  <dataValidations count="2">
    <dataValidation type="list" allowBlank="1" showInputMessage="1" showErrorMessage="1" sqref="C28 C32 B13:B14 H13:H14">
      <formula1>"Select, A1, A2, B1, B2, C"</formula1>
    </dataValidation>
    <dataValidation type="list" allowBlank="1" showInputMessage="1" showErrorMessage="1" sqref="C30 E13:E14">
      <formula1>"Select, Yes, No"</formula1>
    </dataValidation>
  </dataValidations>
  <printOptions horizontalCentered="1"/>
  <pageMargins left="0.74803149606299213" right="0.74803149606299213" top="0.59055118110236227" bottom="0.59055118110236227" header="0.51181102362204722" footer="0.51181102362204722"/>
  <pageSetup paperSize="9" scale="66" fitToHeight="0" orientation="landscape" cellComments="asDisplayed" r:id="rId2"/>
  <headerFooter alignWithMargins="0">
    <oddFooter>&amp;L&amp;9&amp;F&amp;C&amp;A&amp;R&amp;9Page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X69"/>
  <sheetViews>
    <sheetView view="pageBreakPreview" zoomScale="70" zoomScaleNormal="70" zoomScaleSheetLayoutView="70" workbookViewId="0">
      <selection activeCell="D3" sqref="D3:G3"/>
    </sheetView>
  </sheetViews>
  <sheetFormatPr defaultColWidth="0" defaultRowHeight="12.75" x14ac:dyDescent="0.2"/>
  <cols>
    <col min="1" max="1" width="3.85546875" style="69" customWidth="1"/>
    <col min="2" max="2" width="23" style="69" customWidth="1"/>
    <col min="3" max="3" width="26" style="69" customWidth="1"/>
    <col min="4" max="4" width="22.7109375" style="69" customWidth="1"/>
    <col min="5" max="5" width="18.7109375" style="69" customWidth="1"/>
    <col min="6" max="6" width="25.7109375" style="69" customWidth="1"/>
    <col min="7" max="7" width="18.5703125" style="69" customWidth="1"/>
    <col min="8" max="8" width="18.140625" style="69" customWidth="1"/>
    <col min="9" max="9" width="13.42578125" style="69" customWidth="1"/>
    <col min="10" max="10" width="34.42578125" style="69" customWidth="1"/>
    <col min="11" max="11" width="3" style="69" customWidth="1"/>
    <col min="12" max="12" width="21.5703125" style="69" bestFit="1" customWidth="1"/>
    <col min="13" max="13" width="18.5703125" style="69" customWidth="1"/>
    <col min="14" max="14" width="13.7109375" style="69" bestFit="1" customWidth="1"/>
    <col min="15" max="15" width="18.5703125" style="69" customWidth="1"/>
    <col min="16" max="16" width="2.7109375" style="69" customWidth="1"/>
    <col min="17" max="23" width="9.140625" style="69" customWidth="1"/>
    <col min="24" max="24" width="8.7109375" style="69" customWidth="1"/>
    <col min="25" max="16384" width="0" style="69" hidden="1"/>
  </cols>
  <sheetData>
    <row r="1" spans="1:24" s="72" customFormat="1" ht="25.5" customHeight="1" x14ac:dyDescent="0.35">
      <c r="A1" s="2161" t="s">
        <v>629</v>
      </c>
      <c r="B1" s="2161"/>
      <c r="C1" s="2161"/>
      <c r="D1" s="2161"/>
      <c r="E1" s="2161"/>
      <c r="F1" s="2161"/>
      <c r="G1" s="2161"/>
      <c r="H1" s="2161"/>
      <c r="I1" s="2161"/>
      <c r="J1" s="2161"/>
      <c r="K1" s="69"/>
      <c r="L1" s="69"/>
      <c r="M1" s="69"/>
      <c r="R1" s="74"/>
      <c r="S1" s="1022"/>
      <c r="T1" s="1022"/>
      <c r="U1" s="1022"/>
      <c r="V1" s="1022"/>
      <c r="W1" s="1022"/>
      <c r="X1" s="1022"/>
    </row>
    <row r="2" spans="1:24" s="72" customFormat="1" ht="14.25" customHeight="1" thickBot="1" x14ac:dyDescent="0.35">
      <c r="A2" s="69"/>
      <c r="B2" s="69"/>
      <c r="C2" s="69"/>
      <c r="D2" s="69"/>
      <c r="E2" s="69"/>
      <c r="F2" s="69"/>
      <c r="G2" s="69"/>
      <c r="H2" s="78"/>
      <c r="I2" s="83"/>
      <c r="J2" s="69"/>
      <c r="K2" s="69"/>
      <c r="L2" s="69"/>
      <c r="M2" s="69"/>
      <c r="R2" s="74"/>
      <c r="S2" s="1022"/>
      <c r="T2" s="1022"/>
      <c r="U2" s="1022"/>
      <c r="V2" s="1022"/>
      <c r="W2" s="1022"/>
      <c r="X2" s="1022"/>
    </row>
    <row r="3" spans="1:24" s="13" customFormat="1" ht="15" customHeight="1" thickBot="1" x14ac:dyDescent="0.25">
      <c r="A3" s="2194" t="s">
        <v>488</v>
      </c>
      <c r="B3" s="2446"/>
      <c r="C3" s="2195"/>
      <c r="D3" s="2699" t="str">
        <f>IF('LFA_Programmatic Progress_1A'!C3="","",'LFA_Programmatic Progress_1A'!C3)</f>
        <v>UNOPS/LFA-BHUTAN</v>
      </c>
      <c r="E3" s="2700"/>
      <c r="F3" s="2700"/>
      <c r="G3" s="2701"/>
      <c r="H3" s="82"/>
      <c r="I3" s="63"/>
      <c r="J3" s="63"/>
      <c r="K3" s="84"/>
      <c r="L3" s="63"/>
      <c r="M3" s="63"/>
      <c r="N3" s="63"/>
      <c r="O3" s="63"/>
      <c r="P3" s="63"/>
      <c r="Q3" s="63"/>
      <c r="R3" s="74"/>
      <c r="S3" s="1022"/>
      <c r="T3" s="1022"/>
      <c r="U3" s="1022"/>
      <c r="V3" s="1022"/>
      <c r="W3" s="1022"/>
      <c r="X3" s="1022"/>
    </row>
    <row r="4" spans="1:24" s="13" customFormat="1" ht="27.75" customHeight="1" thickBot="1" x14ac:dyDescent="0.3">
      <c r="A4" s="99" t="s">
        <v>503</v>
      </c>
      <c r="B4" s="72"/>
      <c r="C4" s="72"/>
      <c r="D4" s="72"/>
      <c r="E4" s="72"/>
      <c r="F4" s="72"/>
      <c r="G4" s="72"/>
      <c r="H4" s="72"/>
      <c r="I4" s="72"/>
      <c r="J4" s="72"/>
      <c r="K4" s="72"/>
      <c r="L4" s="72"/>
      <c r="M4" s="72"/>
      <c r="N4" s="72"/>
      <c r="O4" s="72"/>
      <c r="P4" s="72"/>
      <c r="Q4" s="72"/>
      <c r="R4" s="72"/>
      <c r="S4" s="69"/>
      <c r="T4" s="69"/>
      <c r="U4" s="69"/>
      <c r="V4" s="69"/>
      <c r="W4" s="69"/>
      <c r="X4" s="69"/>
    </row>
    <row r="5" spans="1:24" s="13" customFormat="1" ht="15" customHeight="1" x14ac:dyDescent="0.2">
      <c r="A5" s="1742" t="s">
        <v>417</v>
      </c>
      <c r="B5" s="1801"/>
      <c r="C5" s="1743"/>
      <c r="D5" s="2199" t="str">
        <f>IF('LFA_Programmatic Progress_1A'!C5="","",'LFA_Programmatic Progress_1A'!C5)</f>
        <v>Bhutan</v>
      </c>
      <c r="E5" s="2200"/>
      <c r="F5" s="2200"/>
      <c r="G5" s="2201"/>
      <c r="H5" s="82"/>
      <c r="I5" s="63"/>
      <c r="J5" s="63"/>
      <c r="K5" s="84"/>
      <c r="L5" s="63"/>
      <c r="M5" s="63"/>
      <c r="N5" s="63"/>
      <c r="O5" s="63"/>
      <c r="P5" s="63"/>
      <c r="Q5" s="63"/>
      <c r="R5" s="74"/>
      <c r="S5" s="1022"/>
      <c r="T5" s="1022"/>
      <c r="U5" s="1022"/>
      <c r="V5" s="1022"/>
      <c r="W5" s="1022"/>
      <c r="X5" s="1022"/>
    </row>
    <row r="6" spans="1:24" s="13" customFormat="1" ht="15" customHeight="1" x14ac:dyDescent="0.2">
      <c r="A6" s="1750" t="s">
        <v>418</v>
      </c>
      <c r="B6" s="2270"/>
      <c r="C6" s="1751"/>
      <c r="D6" s="2148" t="str">
        <f>IF('LFA_Programmatic Progress_1A'!C6="","",'LFA_Programmatic Progress_1A'!C6)</f>
        <v>HIV/AIDS</v>
      </c>
      <c r="E6" s="2149"/>
      <c r="F6" s="2149"/>
      <c r="G6" s="2150"/>
      <c r="H6" s="82"/>
      <c r="I6" s="2714"/>
      <c r="J6" s="2714"/>
      <c r="K6" s="2714"/>
      <c r="L6" s="2714"/>
      <c r="M6" s="2714"/>
      <c r="N6" s="63"/>
      <c r="O6" s="63"/>
      <c r="P6" s="63"/>
      <c r="Q6" s="63"/>
      <c r="R6" s="74"/>
      <c r="S6" s="1022"/>
      <c r="T6" s="1022"/>
      <c r="U6" s="1022"/>
      <c r="V6" s="1022"/>
      <c r="W6" s="1022"/>
      <c r="X6" s="1022"/>
    </row>
    <row r="7" spans="1:24" s="13" customFormat="1" ht="27.75" customHeight="1" x14ac:dyDescent="0.2">
      <c r="A7" s="1750" t="s">
        <v>615</v>
      </c>
      <c r="B7" s="2270"/>
      <c r="C7" s="1751"/>
      <c r="D7" s="2191" t="str">
        <f>IF('LFA_Programmatic Progress_1A'!C7="","",'LFA_Programmatic Progress_1A'!C7)</f>
        <v>BTN-607-G03-H</v>
      </c>
      <c r="E7" s="2192"/>
      <c r="F7" s="2192"/>
      <c r="G7" s="2193"/>
      <c r="H7" s="85"/>
      <c r="I7" s="2714"/>
      <c r="J7" s="2714"/>
      <c r="K7" s="2714"/>
      <c r="L7" s="2714"/>
      <c r="M7" s="2714"/>
      <c r="N7" s="63"/>
      <c r="O7" s="63"/>
      <c r="P7" s="63"/>
      <c r="Q7" s="63"/>
      <c r="R7" s="74"/>
      <c r="S7" s="1022"/>
      <c r="T7" s="1022"/>
      <c r="U7" s="1022"/>
      <c r="V7" s="1022"/>
      <c r="W7" s="1022"/>
      <c r="X7" s="1022"/>
    </row>
    <row r="8" spans="1:24" s="13" customFormat="1" ht="15" customHeight="1" x14ac:dyDescent="0.2">
      <c r="A8" s="1750" t="s">
        <v>588</v>
      </c>
      <c r="B8" s="2270"/>
      <c r="C8" s="1751"/>
      <c r="D8" s="2148" t="str">
        <f>IF('LFA_Programmatic Progress_1A'!C8="","",'LFA_Programmatic Progress_1A'!C8)</f>
        <v xml:space="preserve">Ministry of Health </v>
      </c>
      <c r="E8" s="2149"/>
      <c r="F8" s="2149"/>
      <c r="G8" s="2150"/>
      <c r="H8" s="82"/>
      <c r="I8" s="2714"/>
      <c r="J8" s="2714"/>
      <c r="K8" s="2714"/>
      <c r="L8" s="2714"/>
      <c r="M8" s="2714"/>
      <c r="N8" s="63"/>
      <c r="O8" s="63"/>
      <c r="P8" s="63"/>
      <c r="Q8" s="63"/>
      <c r="R8" s="74"/>
      <c r="S8" s="1022"/>
      <c r="T8" s="1022"/>
      <c r="U8" s="1022"/>
      <c r="V8" s="1022"/>
      <c r="W8" s="1022"/>
      <c r="X8" s="1022"/>
    </row>
    <row r="9" spans="1:24" s="13" customFormat="1" ht="15" customHeight="1" x14ac:dyDescent="0.2">
      <c r="A9" s="1750" t="s">
        <v>613</v>
      </c>
      <c r="B9" s="2270"/>
      <c r="C9" s="1751"/>
      <c r="D9" s="2180">
        <f>IF('LFA_Programmatic Progress_1A'!C9="","",'LFA_Programmatic Progress_1A'!C9)</f>
        <v>39479</v>
      </c>
      <c r="E9" s="2181"/>
      <c r="F9" s="2181"/>
      <c r="G9" s="2182"/>
      <c r="H9" s="62"/>
      <c r="I9" s="63"/>
      <c r="J9" s="63"/>
      <c r="K9" s="63"/>
      <c r="L9" s="63"/>
      <c r="M9" s="63"/>
      <c r="N9" s="63"/>
      <c r="O9" s="63"/>
      <c r="P9" s="63"/>
      <c r="Q9" s="63"/>
      <c r="R9" s="74"/>
      <c r="S9" s="1022"/>
      <c r="T9" s="1022"/>
      <c r="U9" s="1022"/>
      <c r="V9" s="1022"/>
      <c r="W9" s="1022"/>
      <c r="X9" s="1022"/>
    </row>
    <row r="10" spans="1:24" s="13" customFormat="1" ht="15" customHeight="1" thickBot="1" x14ac:dyDescent="0.25">
      <c r="A10" s="1778" t="s">
        <v>589</v>
      </c>
      <c r="B10" s="2445"/>
      <c r="C10" s="1779"/>
      <c r="D10" s="1816" t="str">
        <f>IF('LFA_Programmatic Progress_1A'!C10="","",'LFA_Programmatic Progress_1A'!C10)</f>
        <v>USD</v>
      </c>
      <c r="E10" s="1817"/>
      <c r="F10" s="1817"/>
      <c r="G10" s="1818"/>
      <c r="H10" s="82"/>
      <c r="I10" s="63"/>
      <c r="J10" s="63"/>
      <c r="K10" s="63"/>
      <c r="L10" s="63"/>
      <c r="M10" s="63"/>
      <c r="N10" s="63"/>
      <c r="O10" s="63"/>
      <c r="P10" s="63"/>
      <c r="Q10" s="63"/>
      <c r="R10" s="74"/>
      <c r="S10" s="1022"/>
      <c r="T10" s="1022"/>
      <c r="U10" s="1022"/>
      <c r="V10" s="1022"/>
      <c r="W10" s="1022"/>
      <c r="X10" s="1022"/>
    </row>
    <row r="11" spans="1:24" s="13" customFormat="1" ht="27" customHeight="1" thickBot="1" x14ac:dyDescent="0.3">
      <c r="A11" s="98" t="s">
        <v>504</v>
      </c>
      <c r="B11" s="72"/>
      <c r="C11" s="72"/>
      <c r="D11" s="72"/>
      <c r="E11" s="72"/>
      <c r="F11" s="72"/>
      <c r="G11" s="72"/>
      <c r="H11" s="72"/>
      <c r="I11" s="98" t="s">
        <v>505</v>
      </c>
      <c r="J11" s="72"/>
      <c r="K11" s="72"/>
      <c r="L11" s="72"/>
      <c r="M11" s="72"/>
      <c r="N11" s="72"/>
      <c r="O11" s="72"/>
      <c r="P11" s="72"/>
      <c r="Q11" s="72"/>
      <c r="R11" s="72"/>
      <c r="S11" s="69"/>
      <c r="T11" s="69"/>
      <c r="U11" s="69"/>
      <c r="V11" s="69"/>
      <c r="W11" s="69"/>
      <c r="X11" s="69"/>
    </row>
    <row r="12" spans="1:24" s="13" customFormat="1" ht="15" customHeight="1" x14ac:dyDescent="0.2">
      <c r="A12" s="2692" t="s">
        <v>621</v>
      </c>
      <c r="B12" s="2693"/>
      <c r="C12" s="2694"/>
      <c r="D12" s="53" t="s">
        <v>627</v>
      </c>
      <c r="E12" s="94" t="str">
        <f>IF('LFA_Programmatic Progress_1A'!D12="Select","",'LFA_Programmatic Progress_1A'!D12)</f>
        <v>Quarter</v>
      </c>
      <c r="F12" s="43" t="s">
        <v>628</v>
      </c>
      <c r="G12" s="96">
        <f>IF('LFA_Programmatic Progress_1A'!F12="Select","",'LFA_Programmatic Progress_1A'!F12)</f>
        <v>17</v>
      </c>
      <c r="H12" s="82"/>
      <c r="I12" s="2692" t="s">
        <v>626</v>
      </c>
      <c r="J12" s="2693"/>
      <c r="K12" s="2694"/>
      <c r="L12" s="53" t="s">
        <v>627</v>
      </c>
      <c r="M12" s="94" t="str">
        <f>IF('LFA_Programmatic Progress_1A'!D16="Select","",'LFA_Programmatic Progress_1A'!D16)</f>
        <v>Semester</v>
      </c>
      <c r="N12" s="43" t="s">
        <v>628</v>
      </c>
      <c r="O12" s="96">
        <f>IF('LFA_Programmatic Progress_1A'!F16="Select","",'LFA_Programmatic Progress_1A'!F16)</f>
        <v>8</v>
      </c>
      <c r="P12" s="63"/>
      <c r="Q12" s="63"/>
      <c r="R12" s="74"/>
      <c r="S12" s="1022"/>
      <c r="T12" s="1022"/>
      <c r="U12" s="1022"/>
      <c r="V12" s="1022"/>
      <c r="W12" s="1022"/>
      <c r="X12" s="1022"/>
    </row>
    <row r="13" spans="1:24" s="13" customFormat="1" ht="15" customHeight="1" x14ac:dyDescent="0.2">
      <c r="A13" s="2458" t="s">
        <v>622</v>
      </c>
      <c r="B13" s="2168"/>
      <c r="C13" s="2167"/>
      <c r="D13" s="54" t="s">
        <v>590</v>
      </c>
      <c r="E13" s="95">
        <f>IF('LFA_Programmatic Progress_1A'!D13="Select","",'LFA_Programmatic Progress_1A'!D13)</f>
        <v>40940</v>
      </c>
      <c r="F13" s="5" t="s">
        <v>608</v>
      </c>
      <c r="G13" s="97">
        <f>IF('LFA_Programmatic Progress_1A'!F13="Select","",'LFA_Programmatic Progress_1A'!F13)</f>
        <v>41029</v>
      </c>
      <c r="H13" s="62"/>
      <c r="I13" s="2458" t="s">
        <v>624</v>
      </c>
      <c r="J13" s="2168"/>
      <c r="K13" s="2167"/>
      <c r="L13" s="54" t="s">
        <v>590</v>
      </c>
      <c r="M13" s="95">
        <f>IF('LFA_Programmatic Progress_1A'!D17="Select","",'LFA_Programmatic Progress_1A'!D17)</f>
        <v>41030</v>
      </c>
      <c r="N13" s="5" t="s">
        <v>608</v>
      </c>
      <c r="O13" s="97">
        <f>IF('LFA_Programmatic Progress_1A'!F17="Select","",'LFA_Programmatic Progress_1A'!F17)</f>
        <v>41213</v>
      </c>
      <c r="P13" s="63"/>
      <c r="Q13" s="63"/>
      <c r="R13" s="74"/>
      <c r="S13" s="1022"/>
      <c r="T13" s="1022"/>
      <c r="U13" s="1022"/>
      <c r="V13" s="1022"/>
      <c r="W13" s="1022"/>
      <c r="X13" s="1022"/>
    </row>
    <row r="14" spans="1:24" s="13" customFormat="1" ht="15" customHeight="1" thickBot="1" x14ac:dyDescent="0.25">
      <c r="A14" s="2459" t="s">
        <v>623</v>
      </c>
      <c r="B14" s="2460"/>
      <c r="C14" s="2461"/>
      <c r="D14" s="1817">
        <f>IF('LFA_Programmatic Progress_1A'!C14="Select","",'LFA_Programmatic Progress_1A'!C14)</f>
        <v>17</v>
      </c>
      <c r="E14" s="1817"/>
      <c r="F14" s="1817"/>
      <c r="G14" s="1818"/>
      <c r="H14" s="82"/>
      <c r="I14" s="2459" t="s">
        <v>625</v>
      </c>
      <c r="J14" s="2460"/>
      <c r="K14" s="2461"/>
      <c r="L14" s="1816">
        <f>IF('LFA_Programmatic Progress_1A'!C18="Select","",'LFA_Programmatic Progress_1A'!C18)</f>
        <v>8</v>
      </c>
      <c r="M14" s="1817"/>
      <c r="N14" s="1817"/>
      <c r="O14" s="1818"/>
      <c r="P14" s="63"/>
      <c r="Q14" s="63"/>
      <c r="R14" s="74"/>
      <c r="S14" s="1022"/>
      <c r="T14" s="1022"/>
      <c r="U14" s="1022"/>
      <c r="V14" s="1022"/>
      <c r="W14" s="1022"/>
      <c r="X14" s="1022"/>
    </row>
    <row r="15" spans="1:24" s="72" customFormat="1" ht="21" customHeight="1" x14ac:dyDescent="0.2">
      <c r="A15" s="70"/>
      <c r="B15" s="70"/>
      <c r="C15" s="70"/>
      <c r="D15" s="70"/>
      <c r="E15" s="70"/>
      <c r="F15" s="70"/>
      <c r="G15" s="70"/>
      <c r="H15" s="70"/>
      <c r="I15" s="70"/>
      <c r="J15" s="69"/>
      <c r="K15" s="69"/>
      <c r="L15" s="69"/>
      <c r="R15" s="74"/>
      <c r="S15" s="1022"/>
      <c r="T15" s="1022"/>
      <c r="U15" s="1022"/>
      <c r="V15" s="1022"/>
      <c r="W15" s="1022"/>
      <c r="X15" s="1022"/>
    </row>
    <row r="16" spans="1:24" s="72" customFormat="1" ht="28.5" customHeight="1" x14ac:dyDescent="0.3">
      <c r="A16" s="66" t="s">
        <v>152</v>
      </c>
      <c r="B16" s="78"/>
      <c r="C16" s="78"/>
      <c r="D16" s="78"/>
      <c r="E16" s="70"/>
      <c r="F16" s="70"/>
      <c r="G16" s="70"/>
      <c r="H16" s="70"/>
      <c r="I16" s="70"/>
      <c r="J16" s="69"/>
      <c r="R16" s="74"/>
      <c r="S16" s="1022"/>
      <c r="T16" s="1022"/>
      <c r="U16" s="1022"/>
      <c r="V16" s="1022"/>
      <c r="W16" s="1022"/>
      <c r="X16" s="1022"/>
    </row>
    <row r="17" spans="1:24" s="72" customFormat="1" ht="27.75" customHeight="1" x14ac:dyDescent="0.25">
      <c r="A17" s="2120" t="s">
        <v>277</v>
      </c>
      <c r="B17" s="2121"/>
      <c r="C17" s="2121"/>
      <c r="D17" s="2121"/>
      <c r="E17" s="2121"/>
      <c r="F17" s="2121"/>
      <c r="G17" s="2121"/>
      <c r="H17" s="2121"/>
      <c r="I17" s="2121"/>
      <c r="J17" s="2121"/>
      <c r="K17" s="2121"/>
      <c r="L17" s="2121"/>
      <c r="M17" s="2121"/>
      <c r="N17" s="2121"/>
      <c r="O17" s="2121"/>
      <c r="P17" s="2121"/>
      <c r="R17" s="74"/>
      <c r="S17" s="1022"/>
      <c r="T17" s="1022"/>
      <c r="U17" s="1022"/>
      <c r="V17" s="1022"/>
      <c r="W17" s="1022"/>
      <c r="X17" s="1022"/>
    </row>
    <row r="18" spans="1:24" s="72" customFormat="1" ht="12.75" customHeight="1" x14ac:dyDescent="0.25">
      <c r="A18" s="77"/>
      <c r="B18" s="77"/>
      <c r="C18" s="77"/>
      <c r="D18" s="77"/>
      <c r="E18" s="77"/>
      <c r="F18" s="77"/>
      <c r="G18" s="77"/>
      <c r="H18" s="77"/>
      <c r="I18" s="77"/>
      <c r="J18" s="77"/>
      <c r="K18" s="77"/>
      <c r="L18" s="77"/>
      <c r="M18" s="77"/>
      <c r="N18" s="77"/>
      <c r="O18" s="77"/>
      <c r="P18" s="77"/>
      <c r="R18" s="74"/>
      <c r="S18" s="1022"/>
      <c r="T18" s="1022"/>
      <c r="U18" s="1022"/>
      <c r="V18" s="1022"/>
      <c r="W18" s="1022"/>
      <c r="X18" s="1022"/>
    </row>
    <row r="19" spans="1:24" s="72" customFormat="1" ht="27.75" customHeight="1" x14ac:dyDescent="0.25">
      <c r="A19" s="77"/>
      <c r="B19" s="1200" t="s">
        <v>297</v>
      </c>
      <c r="C19" s="1224" t="str">
        <f>'LFA_Overall Performance_6'!H13</f>
        <v>B1</v>
      </c>
      <c r="D19" s="1199"/>
      <c r="E19" s="77"/>
      <c r="F19" s="77"/>
      <c r="G19" s="77"/>
      <c r="H19" s="77"/>
      <c r="I19" s="77"/>
      <c r="J19" s="77"/>
      <c r="K19" s="77"/>
      <c r="L19" s="77"/>
      <c r="M19" s="77"/>
      <c r="N19" s="77"/>
      <c r="O19" s="77"/>
      <c r="P19" s="77"/>
      <c r="R19" s="74"/>
      <c r="S19" s="1022"/>
      <c r="T19" s="1022"/>
      <c r="U19" s="1022"/>
      <c r="V19" s="1022"/>
      <c r="W19" s="1022"/>
      <c r="X19" s="1022"/>
    </row>
    <row r="20" spans="1:24" s="72" customFormat="1" ht="27.75" customHeight="1" x14ac:dyDescent="0.25">
      <c r="A20" s="77"/>
      <c r="B20" s="77"/>
      <c r="C20" s="77"/>
      <c r="D20" s="77"/>
      <c r="E20" s="77"/>
      <c r="F20" s="77"/>
      <c r="G20" s="77"/>
      <c r="H20" s="77"/>
      <c r="I20" s="77"/>
      <c r="J20" s="77"/>
      <c r="K20" s="77"/>
      <c r="L20" s="77"/>
      <c r="M20" s="77"/>
      <c r="N20" s="77"/>
      <c r="O20" s="77"/>
      <c r="P20" s="77"/>
      <c r="R20" s="74"/>
      <c r="S20" s="1022"/>
      <c r="T20" s="1022"/>
      <c r="U20" s="1022"/>
      <c r="V20" s="1022"/>
      <c r="W20" s="1022"/>
      <c r="X20" s="1022"/>
    </row>
    <row r="21" spans="1:24" s="72" customFormat="1" ht="24" customHeight="1" x14ac:dyDescent="0.25">
      <c r="A21" s="1146" t="s">
        <v>283</v>
      </c>
      <c r="B21" s="77"/>
      <c r="C21" s="77"/>
      <c r="D21" s="77"/>
      <c r="E21" s="77"/>
      <c r="F21" s="77"/>
      <c r="G21" s="77"/>
      <c r="H21" s="77"/>
      <c r="I21" s="77"/>
      <c r="J21" s="77"/>
      <c r="R21" s="74"/>
      <c r="S21" s="1022"/>
      <c r="T21" s="1022"/>
      <c r="U21" s="1022"/>
      <c r="V21" s="1022"/>
      <c r="W21" s="1022"/>
      <c r="X21" s="1022"/>
    </row>
    <row r="22" spans="1:24" s="72" customFormat="1" ht="18" x14ac:dyDescent="0.25">
      <c r="A22" s="2713" t="s">
        <v>259</v>
      </c>
      <c r="B22" s="2713"/>
      <c r="C22" s="2713"/>
      <c r="D22" s="2713" t="s">
        <v>260</v>
      </c>
      <c r="E22" s="2713"/>
      <c r="F22" s="2713"/>
      <c r="G22" s="2713"/>
      <c r="H22" s="2713"/>
      <c r="I22" s="2713"/>
      <c r="J22" s="77"/>
      <c r="R22" s="74"/>
      <c r="S22" s="1022"/>
      <c r="T22" s="1022"/>
      <c r="U22" s="1022"/>
      <c r="V22" s="1022"/>
      <c r="W22" s="1022"/>
      <c r="X22" s="1022"/>
    </row>
    <row r="23" spans="1:24" s="72" customFormat="1" ht="18" x14ac:dyDescent="0.25">
      <c r="A23" s="1149" t="s">
        <v>252</v>
      </c>
      <c r="B23" s="1156" t="s">
        <v>257</v>
      </c>
      <c r="C23" s="1157"/>
      <c r="D23" s="2695" t="s">
        <v>261</v>
      </c>
      <c r="E23" s="2696"/>
      <c r="F23" s="2696"/>
      <c r="G23" s="2696"/>
      <c r="H23" s="2696"/>
      <c r="I23" s="2697"/>
      <c r="J23" s="77"/>
      <c r="R23" s="74"/>
      <c r="S23" s="1022"/>
      <c r="T23" s="1022"/>
      <c r="U23" s="1022"/>
      <c r="V23" s="1022"/>
      <c r="W23" s="1022"/>
      <c r="X23" s="1022"/>
    </row>
    <row r="24" spans="1:24" s="72" customFormat="1" ht="18" x14ac:dyDescent="0.25">
      <c r="A24" s="1150" t="s">
        <v>253</v>
      </c>
      <c r="B24" s="1156" t="s">
        <v>258</v>
      </c>
      <c r="C24" s="1157"/>
      <c r="D24" s="2695" t="s">
        <v>262</v>
      </c>
      <c r="E24" s="2696"/>
      <c r="F24" s="2696"/>
      <c r="G24" s="2696"/>
      <c r="H24" s="2696"/>
      <c r="I24" s="2697"/>
      <c r="J24" s="77"/>
      <c r="R24" s="74"/>
      <c r="S24" s="1022"/>
      <c r="T24" s="1022"/>
      <c r="U24" s="1022"/>
      <c r="V24" s="1022"/>
      <c r="W24" s="1022"/>
      <c r="X24" s="1022"/>
    </row>
    <row r="25" spans="1:24" s="72" customFormat="1" ht="18" x14ac:dyDescent="0.25">
      <c r="A25" s="1151" t="s">
        <v>254</v>
      </c>
      <c r="B25" s="1156" t="s">
        <v>268</v>
      </c>
      <c r="C25" s="1157"/>
      <c r="D25" s="2695" t="s">
        <v>263</v>
      </c>
      <c r="E25" s="2696"/>
      <c r="F25" s="2696"/>
      <c r="G25" s="2696"/>
      <c r="H25" s="2696"/>
      <c r="I25" s="2697"/>
      <c r="J25" s="77"/>
      <c r="R25" s="74"/>
      <c r="S25" s="1022"/>
      <c r="T25" s="1022"/>
      <c r="U25" s="1022"/>
      <c r="V25" s="1022"/>
      <c r="W25" s="1022"/>
      <c r="X25" s="1022"/>
    </row>
    <row r="26" spans="1:24" s="72" customFormat="1" ht="18" x14ac:dyDescent="0.25">
      <c r="A26" s="1152" t="s">
        <v>255</v>
      </c>
      <c r="B26" s="1156" t="s">
        <v>267</v>
      </c>
      <c r="C26" s="1157"/>
      <c r="D26" s="2695" t="s">
        <v>264</v>
      </c>
      <c r="E26" s="2696"/>
      <c r="F26" s="2696"/>
      <c r="G26" s="2696"/>
      <c r="H26" s="2696"/>
      <c r="I26" s="2697"/>
      <c r="J26" s="77"/>
      <c r="R26" s="74"/>
      <c r="S26" s="1022"/>
      <c r="T26" s="1022"/>
      <c r="U26" s="1022"/>
      <c r="V26" s="1022"/>
      <c r="W26" s="1022"/>
      <c r="X26" s="1022"/>
    </row>
    <row r="27" spans="1:24" s="72" customFormat="1" ht="18" x14ac:dyDescent="0.25">
      <c r="A27" s="1153" t="s">
        <v>256</v>
      </c>
      <c r="B27" s="1156" t="s">
        <v>269</v>
      </c>
      <c r="C27" s="1157"/>
      <c r="D27" s="2695" t="s">
        <v>265</v>
      </c>
      <c r="E27" s="2696"/>
      <c r="F27" s="2696"/>
      <c r="G27" s="2696"/>
      <c r="H27" s="2696"/>
      <c r="I27" s="2697"/>
      <c r="J27" s="77"/>
      <c r="R27" s="74"/>
      <c r="S27" s="1022"/>
      <c r="T27" s="1022"/>
      <c r="U27" s="1022"/>
      <c r="V27" s="1022"/>
      <c r="W27" s="1022"/>
      <c r="X27" s="1022"/>
    </row>
    <row r="28" spans="1:24" s="72" customFormat="1" ht="18" x14ac:dyDescent="0.25">
      <c r="A28" s="1145"/>
      <c r="B28" s="1147"/>
      <c r="C28" s="1148"/>
      <c r="D28" s="1144"/>
      <c r="E28" s="1144"/>
      <c r="F28" s="1144"/>
      <c r="G28" s="1144"/>
      <c r="H28" s="1154"/>
      <c r="I28" s="1144"/>
      <c r="J28" s="77"/>
      <c r="R28" s="74"/>
      <c r="S28" s="1022"/>
      <c r="T28" s="1022"/>
      <c r="U28" s="1022"/>
      <c r="V28" s="1022"/>
      <c r="W28" s="1022"/>
      <c r="X28" s="1022"/>
    </row>
    <row r="29" spans="1:24" s="72" customFormat="1" ht="31.5" customHeight="1" x14ac:dyDescent="0.25">
      <c r="A29" s="2716" t="str">
        <f>"1.  Cash amount requested by the Principal Recipient from the Global Fund for next disbursement period plus one additional quarter (amount in: "&amp;IF(D10="","please select currency in 'PR_Section 1A')",D10&amp;"):")</f>
        <v>1.  Cash amount requested by the Principal Recipient from the Global Fund for next disbursement period plus one additional quarter (amount in: USD):</v>
      </c>
      <c r="B29" s="2716"/>
      <c r="C29" s="2716"/>
      <c r="D29" s="2716"/>
      <c r="E29" s="2716"/>
      <c r="F29" s="2716"/>
      <c r="G29" s="2716"/>
      <c r="H29" s="817">
        <f>+'PR_Cash Request_7A&amp;B'!D23</f>
        <v>432578.24</v>
      </c>
      <c r="J29" s="379" t="str">
        <f>+IF('PR_Cash Request_7A&amp;B'!D25="","",'PR_Cash Request_7A&amp;B'!D25)</f>
        <v xml:space="preserve">Ninety four thousand and eighty </v>
      </c>
      <c r="R29" s="74"/>
      <c r="S29" s="1022"/>
      <c r="T29" s="1022"/>
      <c r="U29" s="1022"/>
      <c r="V29" s="1022"/>
      <c r="W29" s="1022"/>
      <c r="X29" s="1022"/>
    </row>
    <row r="30" spans="1:24" s="72" customFormat="1" ht="14.25" customHeight="1" x14ac:dyDescent="0.25">
      <c r="A30" s="517"/>
      <c r="B30" s="517"/>
      <c r="C30" s="517"/>
      <c r="D30" s="517"/>
      <c r="E30" s="517"/>
      <c r="F30" s="517"/>
      <c r="G30" s="517"/>
      <c r="H30" s="649"/>
      <c r="J30" s="367"/>
      <c r="R30" s="74"/>
      <c r="S30" s="1022"/>
      <c r="T30" s="1022"/>
      <c r="U30" s="1022"/>
      <c r="V30" s="1022"/>
      <c r="W30" s="1022"/>
      <c r="X30" s="1022"/>
    </row>
    <row r="31" spans="1:24" s="72" customFormat="1" ht="37.5" customHeight="1" x14ac:dyDescent="0.25">
      <c r="A31" s="2716" t="str">
        <f>"2.  LFA disbursement recommendation (amount in: "&amp;IF(D10="","please select currency in 'PR_Section1A')",D10&amp;"):")</f>
        <v>2.  LFA disbursement recommendation (amount in: USD):</v>
      </c>
      <c r="B31" s="2716"/>
      <c r="C31" s="2716"/>
      <c r="D31" s="2716"/>
      <c r="E31" s="2716"/>
      <c r="F31" s="2716"/>
      <c r="G31" s="2716"/>
      <c r="H31" s="817">
        <f>'LFA_Disbursement Recommend_5B'!K44</f>
        <v>0</v>
      </c>
      <c r="J31" s="378" t="s">
        <v>665</v>
      </c>
      <c r="R31" s="74"/>
      <c r="S31" s="1022"/>
      <c r="T31" s="1022"/>
      <c r="U31" s="1022"/>
      <c r="V31" s="1022"/>
      <c r="W31" s="1022"/>
      <c r="X31" s="1022"/>
    </row>
    <row r="32" spans="1:24" s="72" customFormat="1" ht="14.25" x14ac:dyDescent="0.2">
      <c r="A32" s="86"/>
      <c r="B32" s="86"/>
      <c r="C32" s="86"/>
      <c r="D32" s="86"/>
      <c r="E32" s="86"/>
      <c r="F32" s="86"/>
      <c r="G32" s="86"/>
      <c r="H32" s="86"/>
      <c r="I32" s="86"/>
      <c r="J32" s="72" t="s">
        <v>408</v>
      </c>
      <c r="R32" s="74"/>
      <c r="S32" s="1022"/>
      <c r="T32" s="1022"/>
      <c r="U32" s="1022"/>
      <c r="V32" s="1022"/>
      <c r="W32" s="1022"/>
      <c r="X32" s="1022"/>
    </row>
    <row r="33" spans="1:24" s="72" customFormat="1" ht="60" customHeight="1" x14ac:dyDescent="0.25">
      <c r="A33" s="2711" t="s">
        <v>281</v>
      </c>
      <c r="B33" s="2711"/>
      <c r="D33" s="1155" t="s">
        <v>275</v>
      </c>
      <c r="E33" s="86"/>
      <c r="F33" s="1155" t="s">
        <v>282</v>
      </c>
      <c r="G33" s="86"/>
      <c r="H33" s="669" t="s">
        <v>300</v>
      </c>
      <c r="I33" s="86"/>
      <c r="J33" s="86" t="s">
        <v>266</v>
      </c>
      <c r="R33" s="74"/>
      <c r="S33" s="1022"/>
      <c r="T33" s="1022"/>
      <c r="U33" s="1022"/>
      <c r="V33" s="1022"/>
      <c r="W33" s="1022"/>
      <c r="X33" s="1022"/>
    </row>
    <row r="34" spans="1:24" s="72" customFormat="1" ht="46.5" customHeight="1" x14ac:dyDescent="0.2">
      <c r="A34" s="1155"/>
      <c r="B34" s="1221">
        <f>'LFA_Total PR Cash Outflow_3A'!H13+'LFA_Disbursement Recommend_5B'!M18+'LFA_Disbursement Recommend_5B'!M22+'LFA_Disbursement Recommend_5B'!M28</f>
        <v>2402377.0700000003</v>
      </c>
      <c r="C34" s="86"/>
      <c r="D34" s="1223"/>
      <c r="E34" s="86"/>
      <c r="F34" s="1221">
        <f>H31+D34</f>
        <v>0</v>
      </c>
      <c r="G34" s="86"/>
      <c r="H34" s="1220">
        <f>IF(B34=0, "", F34/B34)</f>
        <v>0</v>
      </c>
      <c r="I34" s="86"/>
      <c r="J34" s="1222" t="s">
        <v>607</v>
      </c>
      <c r="R34" s="74"/>
      <c r="S34" s="1022"/>
      <c r="T34" s="1022"/>
      <c r="U34" s="1022"/>
      <c r="V34" s="1022"/>
      <c r="W34" s="1022"/>
      <c r="X34" s="1022"/>
    </row>
    <row r="35" spans="1:24" s="91" customFormat="1" ht="27" customHeight="1" x14ac:dyDescent="0.25">
      <c r="A35" s="92" t="s">
        <v>276</v>
      </c>
      <c r="B35" s="92"/>
      <c r="C35" s="92"/>
      <c r="D35" s="92"/>
      <c r="E35" s="92"/>
      <c r="F35" s="92"/>
      <c r="G35" s="92"/>
      <c r="H35" s="1178"/>
      <c r="I35" s="86"/>
      <c r="R35" s="510"/>
      <c r="S35" s="347"/>
      <c r="T35" s="347"/>
      <c r="U35" s="347"/>
      <c r="V35" s="347"/>
      <c r="W35" s="347"/>
      <c r="X35" s="347"/>
    </row>
    <row r="36" spans="1:24" s="72" customFormat="1" ht="14.25" x14ac:dyDescent="0.2">
      <c r="A36" s="86"/>
      <c r="B36" s="86"/>
      <c r="C36" s="86"/>
      <c r="D36" s="86"/>
      <c r="E36" s="86"/>
      <c r="F36" s="86"/>
      <c r="G36" s="86"/>
      <c r="H36" s="86"/>
      <c r="I36" s="86"/>
      <c r="R36" s="74"/>
      <c r="S36" s="1022"/>
      <c r="T36" s="1022"/>
      <c r="U36" s="1022"/>
      <c r="V36" s="1022"/>
      <c r="W36" s="1022"/>
      <c r="X36" s="1022"/>
    </row>
    <row r="37" spans="1:24" s="17" customFormat="1" ht="14.25" x14ac:dyDescent="0.2">
      <c r="A37" s="2712" t="s">
        <v>284</v>
      </c>
      <c r="B37" s="2712"/>
      <c r="C37" s="2712"/>
      <c r="D37" s="2712"/>
      <c r="E37" s="2712"/>
      <c r="F37" s="2712"/>
      <c r="G37" s="2712"/>
      <c r="H37" s="69"/>
      <c r="I37" s="69"/>
      <c r="J37" s="72"/>
      <c r="K37" s="74"/>
      <c r="L37" s="74"/>
      <c r="M37" s="74"/>
      <c r="N37" s="74"/>
      <c r="O37" s="74"/>
      <c r="P37" s="74"/>
      <c r="Q37" s="74"/>
      <c r="R37" s="74"/>
      <c r="S37" s="1022"/>
      <c r="T37" s="1022"/>
      <c r="U37" s="1022"/>
      <c r="V37" s="1022"/>
      <c r="W37" s="1022"/>
      <c r="X37" s="1022"/>
    </row>
    <row r="38" spans="1:24" s="75" customFormat="1" ht="22.5" customHeight="1" x14ac:dyDescent="0.2">
      <c r="A38" s="2720"/>
      <c r="B38" s="2721"/>
      <c r="C38" s="2721"/>
      <c r="D38" s="2721"/>
      <c r="E38" s="2721"/>
      <c r="F38" s="2721"/>
      <c r="G38" s="2721"/>
      <c r="H38" s="2721"/>
      <c r="I38" s="2721"/>
      <c r="J38" s="2722"/>
      <c r="S38" s="88"/>
      <c r="T38" s="88"/>
      <c r="U38" s="88"/>
      <c r="V38" s="88"/>
      <c r="W38" s="88"/>
      <c r="X38" s="88"/>
    </row>
    <row r="39" spans="1:24" s="75" customFormat="1" ht="54.75" customHeight="1" x14ac:dyDescent="0.2">
      <c r="A39" s="2723"/>
      <c r="B39" s="2724"/>
      <c r="C39" s="2724"/>
      <c r="D39" s="2724"/>
      <c r="E39" s="2724"/>
      <c r="F39" s="2724"/>
      <c r="G39" s="2724"/>
      <c r="H39" s="2724"/>
      <c r="I39" s="2724"/>
      <c r="J39" s="2725"/>
      <c r="S39" s="88"/>
      <c r="T39" s="88"/>
      <c r="U39" s="88"/>
      <c r="V39" s="88"/>
      <c r="W39" s="88"/>
      <c r="X39" s="88"/>
    </row>
    <row r="40" spans="1:24" s="75" customFormat="1" ht="31.5" customHeight="1" x14ac:dyDescent="0.2">
      <c r="A40" s="72"/>
      <c r="B40" s="72"/>
      <c r="C40" s="72"/>
      <c r="D40" s="72"/>
      <c r="E40" s="72"/>
      <c r="F40" s="72"/>
      <c r="G40" s="72"/>
      <c r="H40" s="72"/>
      <c r="I40" s="72"/>
      <c r="J40" s="72"/>
      <c r="S40" s="88"/>
      <c r="T40" s="88"/>
      <c r="U40" s="88"/>
      <c r="V40" s="88"/>
      <c r="W40" s="88"/>
      <c r="X40" s="88"/>
    </row>
    <row r="41" spans="1:24" s="75" customFormat="1" ht="31.5" customHeight="1" x14ac:dyDescent="0.25">
      <c r="A41" s="2120" t="s">
        <v>278</v>
      </c>
      <c r="B41" s="2121"/>
      <c r="C41" s="2121"/>
      <c r="D41" s="2121"/>
      <c r="E41" s="2121"/>
      <c r="F41" s="2121"/>
      <c r="G41" s="2121"/>
      <c r="H41" s="2121"/>
      <c r="I41" s="2121"/>
      <c r="J41" s="2121"/>
      <c r="K41" s="2121"/>
      <c r="L41" s="2121"/>
      <c r="M41" s="2121"/>
      <c r="N41" s="2121"/>
      <c r="O41" s="2121"/>
      <c r="P41" s="2121"/>
      <c r="S41" s="88"/>
      <c r="T41" s="88"/>
      <c r="U41" s="88"/>
      <c r="V41" s="88"/>
      <c r="W41" s="88"/>
      <c r="X41" s="88"/>
    </row>
    <row r="42" spans="1:24" s="75" customFormat="1" ht="41.25" customHeight="1" x14ac:dyDescent="0.2">
      <c r="A42" s="1184" t="s">
        <v>500</v>
      </c>
      <c r="J42" s="1185" t="s">
        <v>502</v>
      </c>
      <c r="S42" s="88"/>
      <c r="T42" s="88"/>
      <c r="U42" s="88"/>
      <c r="V42" s="88"/>
      <c r="W42" s="88"/>
      <c r="X42" s="88"/>
    </row>
    <row r="43" spans="1:24" s="75" customFormat="1" ht="36" customHeight="1" x14ac:dyDescent="0.25">
      <c r="B43" s="518" t="s">
        <v>365</v>
      </c>
      <c r="C43" s="87" t="s">
        <v>489</v>
      </c>
      <c r="I43" s="76"/>
      <c r="J43" s="2688" t="s">
        <v>1146</v>
      </c>
      <c r="K43" s="2688"/>
      <c r="L43" s="2688"/>
      <c r="M43" s="2688"/>
      <c r="S43" s="88"/>
      <c r="T43" s="88"/>
      <c r="U43" s="88"/>
      <c r="V43" s="88"/>
      <c r="W43" s="88"/>
      <c r="X43" s="88"/>
    </row>
    <row r="44" spans="1:24" s="75" customFormat="1" ht="30.75" customHeight="1" x14ac:dyDescent="0.25">
      <c r="B44" s="518" t="s">
        <v>365</v>
      </c>
      <c r="C44" s="87" t="s">
        <v>490</v>
      </c>
      <c r="I44" s="76"/>
      <c r="J44" s="2688" t="s">
        <v>1149</v>
      </c>
      <c r="K44" s="2688"/>
      <c r="L44" s="2688"/>
      <c r="M44" s="2688"/>
      <c r="S44" s="88"/>
      <c r="T44" s="88"/>
      <c r="U44" s="88"/>
      <c r="V44" s="88"/>
      <c r="W44" s="88"/>
      <c r="X44" s="88"/>
    </row>
    <row r="45" spans="1:24" s="75" customFormat="1" ht="40.5" customHeight="1" x14ac:dyDescent="0.25">
      <c r="B45" s="518" t="s">
        <v>365</v>
      </c>
      <c r="C45" s="2717" t="s">
        <v>501</v>
      </c>
      <c r="D45" s="2717"/>
      <c r="E45" s="2717"/>
      <c r="F45" s="2717"/>
      <c r="G45" s="2717"/>
      <c r="H45" s="2717"/>
      <c r="I45" s="76"/>
      <c r="J45" s="2689" t="s">
        <v>1146</v>
      </c>
      <c r="K45" s="2690"/>
      <c r="L45" s="2690"/>
      <c r="M45" s="2691"/>
      <c r="S45" s="88"/>
      <c r="T45" s="88"/>
      <c r="U45" s="88"/>
      <c r="V45" s="88"/>
      <c r="W45" s="88"/>
      <c r="X45" s="88"/>
    </row>
    <row r="46" spans="1:24" s="75" customFormat="1" ht="42" customHeight="1" x14ac:dyDescent="0.25">
      <c r="B46" s="518" t="s">
        <v>365</v>
      </c>
      <c r="C46" s="2717" t="s">
        <v>491</v>
      </c>
      <c r="D46" s="2717"/>
      <c r="E46" s="2717"/>
      <c r="F46" s="2717"/>
      <c r="G46" s="2717"/>
      <c r="H46" s="2717"/>
      <c r="J46" s="2347" t="s">
        <v>1146</v>
      </c>
      <c r="K46" s="2347"/>
      <c r="L46" s="2347"/>
      <c r="M46" s="2347"/>
      <c r="S46" s="88"/>
      <c r="T46" s="88"/>
      <c r="U46" s="88"/>
      <c r="V46" s="88"/>
      <c r="W46" s="88"/>
      <c r="X46" s="88"/>
    </row>
    <row r="47" spans="1:24" s="75" customFormat="1" ht="55.5" customHeight="1" x14ac:dyDescent="0.25">
      <c r="B47" s="518" t="s">
        <v>365</v>
      </c>
      <c r="C47" s="87" t="s">
        <v>492</v>
      </c>
      <c r="I47" s="76"/>
      <c r="J47" s="2726" t="s">
        <v>1154</v>
      </c>
      <c r="K47" s="2726"/>
      <c r="L47" s="2726"/>
      <c r="M47" s="2726"/>
      <c r="S47" s="88"/>
      <c r="T47" s="88"/>
      <c r="U47" s="88"/>
      <c r="V47" s="88"/>
      <c r="W47" s="88"/>
      <c r="X47" s="88"/>
    </row>
    <row r="48" spans="1:24" s="75" customFormat="1" ht="32.25" customHeight="1" x14ac:dyDescent="0.25">
      <c r="B48" s="518" t="s">
        <v>365</v>
      </c>
      <c r="C48" s="1229" t="s">
        <v>299</v>
      </c>
      <c r="D48" s="1229"/>
      <c r="E48" s="1229"/>
      <c r="F48" s="1229"/>
      <c r="G48" s="1229"/>
      <c r="H48" s="1229"/>
      <c r="I48" s="516"/>
      <c r="J48" s="2364" t="s">
        <v>1147</v>
      </c>
      <c r="K48" s="2646"/>
      <c r="L48" s="2646"/>
      <c r="M48" s="2646"/>
      <c r="S48" s="88"/>
      <c r="T48" s="88"/>
      <c r="U48" s="88"/>
      <c r="V48" s="88"/>
      <c r="W48" s="88"/>
      <c r="X48" s="88"/>
    </row>
    <row r="49" spans="1:24" s="75" customFormat="1" ht="32.25" customHeight="1" x14ac:dyDescent="0.25">
      <c r="B49" s="518" t="s">
        <v>607</v>
      </c>
      <c r="C49" s="1230" t="s">
        <v>279</v>
      </c>
      <c r="D49" s="666"/>
      <c r="E49" s="666"/>
      <c r="F49" s="666"/>
      <c r="G49" s="666"/>
      <c r="H49" s="666"/>
      <c r="I49" s="666"/>
      <c r="J49" s="2347" t="s">
        <v>1150</v>
      </c>
      <c r="K49" s="2347"/>
      <c r="L49" s="2347"/>
      <c r="M49" s="2347"/>
      <c r="S49" s="88"/>
      <c r="T49" s="88"/>
      <c r="U49" s="88"/>
      <c r="V49" s="88"/>
      <c r="W49" s="88"/>
      <c r="X49" s="88"/>
    </row>
    <row r="50" spans="1:24" s="72" customFormat="1" ht="38.25" customHeight="1" x14ac:dyDescent="0.25">
      <c r="A50" s="75"/>
      <c r="B50" s="518" t="s">
        <v>365</v>
      </c>
      <c r="C50" s="87" t="s">
        <v>351</v>
      </c>
      <c r="D50" s="75"/>
      <c r="E50" s="75"/>
      <c r="F50" s="75"/>
      <c r="G50" s="75"/>
      <c r="H50" s="75"/>
      <c r="I50" s="76"/>
      <c r="J50" s="2347" t="s">
        <v>1148</v>
      </c>
      <c r="K50" s="2347"/>
      <c r="L50" s="2347"/>
      <c r="M50" s="2347"/>
      <c r="R50" s="74"/>
      <c r="S50" s="1022"/>
      <c r="T50" s="1022"/>
      <c r="U50" s="1022"/>
      <c r="V50" s="1022"/>
      <c r="W50" s="1022"/>
      <c r="X50" s="1022"/>
    </row>
    <row r="51" spans="1:24" s="72" customFormat="1" ht="49.5" customHeight="1" x14ac:dyDescent="0.25">
      <c r="A51" s="2698" t="s">
        <v>237</v>
      </c>
      <c r="B51" s="2698"/>
      <c r="C51" s="2698"/>
      <c r="D51" s="2698"/>
      <c r="E51" s="2698"/>
      <c r="F51" s="2698"/>
      <c r="G51" s="2698"/>
      <c r="H51" s="2698"/>
      <c r="I51" s="2698"/>
      <c r="J51" s="2698"/>
      <c r="K51" s="2698"/>
      <c r="L51" s="2698"/>
      <c r="M51" s="2698"/>
      <c r="R51" s="74"/>
      <c r="S51" s="1022"/>
      <c r="T51" s="1022"/>
      <c r="U51" s="1022"/>
      <c r="V51" s="1022"/>
      <c r="W51" s="1022"/>
      <c r="X51" s="1022"/>
    </row>
    <row r="52" spans="1:24" s="72" customFormat="1" ht="25.5" customHeight="1" x14ac:dyDescent="0.25">
      <c r="A52" s="75"/>
      <c r="B52" s="650"/>
      <c r="C52" s="87"/>
      <c r="D52" s="75"/>
      <c r="E52" s="75"/>
      <c r="F52" s="75"/>
      <c r="G52" s="75"/>
      <c r="H52" s="75"/>
      <c r="I52" s="76"/>
      <c r="J52" s="559"/>
      <c r="R52" s="74"/>
      <c r="S52" s="1022"/>
      <c r="T52" s="1022"/>
      <c r="U52" s="1022"/>
      <c r="V52" s="1022"/>
      <c r="W52" s="1022"/>
      <c r="X52" s="1022"/>
    </row>
    <row r="53" spans="1:24" s="75" customFormat="1" ht="43.5" customHeight="1" x14ac:dyDescent="0.25">
      <c r="A53" s="2702" t="s">
        <v>298</v>
      </c>
      <c r="B53" s="2702"/>
      <c r="C53" s="2702"/>
      <c r="D53" s="2702"/>
      <c r="E53" s="2702"/>
      <c r="F53" s="2702"/>
      <c r="G53" s="2702"/>
      <c r="H53" s="2702"/>
      <c r="I53" s="2702"/>
      <c r="J53" s="2702"/>
      <c r="S53" s="88"/>
      <c r="T53" s="88"/>
      <c r="U53" s="88"/>
      <c r="V53" s="88"/>
      <c r="W53" s="88"/>
      <c r="X53" s="88"/>
    </row>
    <row r="54" spans="1:24" s="75" customFormat="1" ht="51.75" customHeight="1" x14ac:dyDescent="0.2">
      <c r="A54" s="2718" t="s">
        <v>631</v>
      </c>
      <c r="B54" s="2719"/>
      <c r="C54" s="2719"/>
      <c r="D54" s="2719"/>
      <c r="E54" s="2719"/>
      <c r="F54" s="2719"/>
      <c r="G54" s="2719"/>
      <c r="H54" s="2719"/>
      <c r="I54" s="2719"/>
      <c r="J54" s="2719"/>
      <c r="S54" s="88"/>
      <c r="T54" s="88"/>
      <c r="U54" s="88"/>
      <c r="V54" s="88"/>
      <c r="W54" s="88"/>
      <c r="X54" s="88"/>
    </row>
    <row r="55" spans="1:24" s="75" customFormat="1" ht="49.5" customHeight="1" x14ac:dyDescent="0.2">
      <c r="A55" s="2704" t="s">
        <v>1166</v>
      </c>
      <c r="B55" s="2705"/>
      <c r="C55" s="2705"/>
      <c r="D55" s="2705"/>
      <c r="E55" s="2705"/>
      <c r="F55" s="2705"/>
      <c r="G55" s="2705"/>
      <c r="H55" s="2705"/>
      <c r="I55" s="2705"/>
      <c r="J55" s="2705"/>
      <c r="K55" s="2705"/>
      <c r="L55" s="2705"/>
      <c r="M55" s="2706"/>
      <c r="S55" s="88"/>
      <c r="T55" s="88"/>
      <c r="U55" s="88"/>
      <c r="V55" s="88"/>
      <c r="W55" s="88"/>
      <c r="X55" s="88"/>
    </row>
    <row r="56" spans="1:24" s="75" customFormat="1" ht="48" customHeight="1" x14ac:dyDescent="0.2">
      <c r="A56" s="2707"/>
      <c r="B56" s="2708"/>
      <c r="C56" s="2708"/>
      <c r="D56" s="2708"/>
      <c r="E56" s="2708"/>
      <c r="F56" s="2708"/>
      <c r="G56" s="2708"/>
      <c r="H56" s="2708"/>
      <c r="I56" s="2708"/>
      <c r="J56" s="2708"/>
      <c r="K56" s="2708"/>
      <c r="L56" s="2708"/>
      <c r="M56" s="2709"/>
      <c r="S56" s="88"/>
      <c r="T56" s="88"/>
      <c r="U56" s="88"/>
      <c r="V56" s="88"/>
      <c r="W56" s="88"/>
      <c r="X56" s="88"/>
    </row>
    <row r="57" spans="1:24" s="1360" customFormat="1" ht="66.75" customHeight="1" x14ac:dyDescent="0.25">
      <c r="A57" s="2710" t="s">
        <v>642</v>
      </c>
      <c r="B57" s="2710"/>
      <c r="C57" s="2710"/>
      <c r="D57" s="2710"/>
      <c r="E57" s="2710"/>
      <c r="F57" s="2710"/>
      <c r="G57" s="2710"/>
      <c r="H57" s="2710"/>
      <c r="I57" s="2710"/>
      <c r="J57" s="2710"/>
      <c r="K57" s="1359"/>
      <c r="L57" s="1359"/>
      <c r="M57" s="1359"/>
      <c r="S57" s="474"/>
      <c r="T57" s="474"/>
      <c r="U57" s="474"/>
      <c r="V57" s="474"/>
      <c r="W57" s="474"/>
      <c r="X57" s="474"/>
    </row>
    <row r="58" spans="1:24" s="72" customFormat="1" ht="30" customHeight="1" x14ac:dyDescent="0.25">
      <c r="A58" s="1357" t="s">
        <v>493</v>
      </c>
      <c r="B58" s="1357"/>
      <c r="C58" s="1357"/>
      <c r="D58" s="2703"/>
      <c r="E58" s="2703"/>
      <c r="F58" s="2703"/>
      <c r="G58" s="1361"/>
      <c r="H58" s="1361"/>
      <c r="I58" s="1361"/>
      <c r="J58" s="1358"/>
      <c r="S58" s="69"/>
      <c r="T58" s="69"/>
      <c r="U58" s="69"/>
      <c r="V58" s="69"/>
      <c r="W58" s="2"/>
      <c r="X58" s="2"/>
    </row>
    <row r="59" spans="1:24" s="72" customFormat="1" ht="36" customHeight="1" x14ac:dyDescent="0.25">
      <c r="A59" s="1357" t="s">
        <v>494</v>
      </c>
      <c r="B59" s="1357"/>
      <c r="C59" s="1357"/>
      <c r="D59" s="2715" t="s">
        <v>1151</v>
      </c>
      <c r="E59" s="2715"/>
      <c r="F59" s="2715"/>
      <c r="G59" s="1361"/>
      <c r="H59" s="1361"/>
      <c r="I59" s="1361"/>
      <c r="J59" s="1358"/>
      <c r="S59" s="69"/>
      <c r="T59" s="69"/>
      <c r="U59" s="69"/>
      <c r="V59" s="69"/>
      <c r="W59" s="2"/>
      <c r="X59" s="2"/>
    </row>
    <row r="60" spans="1:24" s="72" customFormat="1" ht="36" customHeight="1" x14ac:dyDescent="0.25">
      <c r="A60" s="1357" t="s">
        <v>495</v>
      </c>
      <c r="B60" s="1357"/>
      <c r="C60" s="1357"/>
      <c r="D60" s="2715" t="s">
        <v>1152</v>
      </c>
      <c r="E60" s="2715"/>
      <c r="F60" s="2715"/>
      <c r="G60" s="1361"/>
      <c r="H60" s="1361"/>
      <c r="I60" s="1361"/>
      <c r="J60" s="1358"/>
      <c r="S60" s="69"/>
      <c r="T60" s="69"/>
      <c r="U60" s="69"/>
      <c r="V60" s="69"/>
      <c r="W60" s="2"/>
      <c r="X60" s="2"/>
    </row>
    <row r="61" spans="1:24" s="72" customFormat="1" ht="37.5" customHeight="1" x14ac:dyDescent="0.25">
      <c r="A61" s="1357" t="s">
        <v>496</v>
      </c>
      <c r="B61" s="1357"/>
      <c r="C61" s="1357"/>
      <c r="D61" s="2715" t="s">
        <v>1153</v>
      </c>
      <c r="E61" s="2715"/>
      <c r="F61" s="2715"/>
      <c r="G61" s="1361"/>
      <c r="H61" s="1361"/>
      <c r="I61" s="1361"/>
      <c r="J61" s="1358"/>
      <c r="S61" s="69"/>
      <c r="T61" s="69"/>
      <c r="U61" s="69"/>
      <c r="V61" s="69"/>
      <c r="W61" s="2"/>
      <c r="X61" s="2"/>
    </row>
    <row r="62" spans="1:24" s="72" customFormat="1" ht="18" x14ac:dyDescent="0.25">
      <c r="A62" s="1358"/>
      <c r="B62" s="1358"/>
      <c r="S62" s="69"/>
      <c r="T62" s="69"/>
      <c r="U62" s="69"/>
      <c r="V62" s="69"/>
      <c r="W62" s="2"/>
      <c r="X62" s="2"/>
    </row>
    <row r="63" spans="1:24" s="72" customFormat="1" ht="15" x14ac:dyDescent="0.25">
      <c r="A63" s="651"/>
      <c r="S63" s="69"/>
      <c r="T63" s="69"/>
      <c r="U63" s="69"/>
      <c r="V63" s="69"/>
      <c r="W63" s="69"/>
      <c r="X63" s="69"/>
    </row>
    <row r="64" spans="1:24" s="72" customFormat="1" ht="15.75" x14ac:dyDescent="0.25">
      <c r="A64" s="2698"/>
      <c r="B64" s="2698"/>
      <c r="C64" s="2698"/>
      <c r="D64" s="2698"/>
      <c r="E64" s="2698"/>
      <c r="F64" s="2698"/>
      <c r="G64" s="2698"/>
      <c r="H64" s="2698"/>
      <c r="I64" s="2698"/>
      <c r="J64" s="2698"/>
      <c r="S64" s="69"/>
      <c r="T64" s="69"/>
      <c r="U64" s="69"/>
      <c r="V64" s="69"/>
      <c r="W64" s="69"/>
      <c r="X64" s="69"/>
    </row>
    <row r="65" spans="1:24" s="72" customFormat="1" x14ac:dyDescent="0.2">
      <c r="S65" s="69"/>
      <c r="T65" s="69"/>
      <c r="U65" s="69"/>
      <c r="V65" s="69"/>
      <c r="W65" s="69"/>
      <c r="X65" s="69"/>
    </row>
    <row r="66" spans="1:24" x14ac:dyDescent="0.2">
      <c r="A66" s="72"/>
      <c r="B66" s="72"/>
      <c r="C66" s="72"/>
      <c r="D66" s="72"/>
      <c r="E66" s="72"/>
      <c r="F66" s="72"/>
      <c r="G66" s="72"/>
      <c r="H66" s="72"/>
      <c r="I66" s="72"/>
      <c r="J66" s="72"/>
    </row>
    <row r="67" spans="1:24" x14ac:dyDescent="0.2">
      <c r="A67" s="72"/>
      <c r="B67" s="72"/>
      <c r="C67" s="72"/>
      <c r="D67" s="72"/>
      <c r="E67" s="72"/>
      <c r="F67" s="72"/>
      <c r="G67" s="72"/>
      <c r="H67" s="72"/>
      <c r="I67" s="72"/>
      <c r="J67" s="72"/>
    </row>
    <row r="68" spans="1:24" x14ac:dyDescent="0.2">
      <c r="A68" s="72"/>
      <c r="B68" s="72"/>
      <c r="C68" s="72"/>
      <c r="D68" s="72"/>
      <c r="E68" s="72"/>
      <c r="F68" s="72"/>
      <c r="G68" s="72"/>
      <c r="H68" s="72"/>
      <c r="I68" s="72"/>
      <c r="J68" s="72"/>
    </row>
    <row r="69" spans="1:24" x14ac:dyDescent="0.2">
      <c r="A69" s="72"/>
      <c r="B69" s="72"/>
      <c r="C69" s="72"/>
      <c r="D69" s="72"/>
      <c r="E69" s="72"/>
      <c r="F69" s="72"/>
      <c r="G69" s="72"/>
      <c r="H69" s="72"/>
      <c r="I69" s="72"/>
      <c r="J69" s="72"/>
    </row>
  </sheetData>
  <sheetProtection formatCells="0" formatColumns="0" formatRows="0"/>
  <customSheetViews>
    <customSheetView guid="{E26F941C-F347-432D-B4B3-73B25F002075}" scale="75" fitToPage="1" hiddenColumns="1" topLeftCell="A19">
      <pane xSplit="9.7868131868131876" topLeftCell="J1"/>
      <selection activeCell="J34" sqref="J34"/>
      <pageMargins left="0.42" right="0.37" top="0.42" bottom="0.54" header="0.33" footer="0.36"/>
      <printOptions horizontalCentered="1"/>
      <pageSetup paperSize="9" scale="49" orientation="landscape" cellComments="asDisplayed" r:id="rId1"/>
      <headerFooter alignWithMargins="0">
        <oddFooter>&amp;L&amp;9SD 3.1A - Form, Ongoing DR/PU and LFA Review and Recommendation_v2.1 February 2006&amp;R&amp;9Page &amp;P of &amp;N</oddFooter>
      </headerFooter>
    </customSheetView>
  </customSheetViews>
  <mergeCells count="58">
    <mergeCell ref="D61:F61"/>
    <mergeCell ref="A31:G31"/>
    <mergeCell ref="A14:C14"/>
    <mergeCell ref="C45:H45"/>
    <mergeCell ref="D60:F60"/>
    <mergeCell ref="C46:H46"/>
    <mergeCell ref="A54:J54"/>
    <mergeCell ref="A38:J39"/>
    <mergeCell ref="D59:F59"/>
    <mergeCell ref="J46:M46"/>
    <mergeCell ref="A17:P17"/>
    <mergeCell ref="A41:P41"/>
    <mergeCell ref="A29:G29"/>
    <mergeCell ref="D24:I24"/>
    <mergeCell ref="J48:M48"/>
    <mergeCell ref="J47:M47"/>
    <mergeCell ref="J49:M49"/>
    <mergeCell ref="J50:M50"/>
    <mergeCell ref="A51:M51"/>
    <mergeCell ref="A13:C13"/>
    <mergeCell ref="A6:C6"/>
    <mergeCell ref="A7:C7"/>
    <mergeCell ref="D10:G10"/>
    <mergeCell ref="D14:G14"/>
    <mergeCell ref="D8:G8"/>
    <mergeCell ref="A9:C9"/>
    <mergeCell ref="A8:C8"/>
    <mergeCell ref="A10:C10"/>
    <mergeCell ref="A12:C12"/>
    <mergeCell ref="D9:G9"/>
    <mergeCell ref="D22:I22"/>
    <mergeCell ref="I6:M8"/>
    <mergeCell ref="A64:J64"/>
    <mergeCell ref="A1:J1"/>
    <mergeCell ref="D6:G6"/>
    <mergeCell ref="D7:G7"/>
    <mergeCell ref="D3:G3"/>
    <mergeCell ref="D5:G5"/>
    <mergeCell ref="A53:J53"/>
    <mergeCell ref="A3:C3"/>
    <mergeCell ref="A5:C5"/>
    <mergeCell ref="D58:F58"/>
    <mergeCell ref="A55:M56"/>
    <mergeCell ref="A57:J57"/>
    <mergeCell ref="A33:B33"/>
    <mergeCell ref="A37:G37"/>
    <mergeCell ref="A22:C22"/>
    <mergeCell ref="I14:K14"/>
    <mergeCell ref="J43:M43"/>
    <mergeCell ref="J44:M44"/>
    <mergeCell ref="J45:M45"/>
    <mergeCell ref="I12:K12"/>
    <mergeCell ref="I13:K13"/>
    <mergeCell ref="D25:I25"/>
    <mergeCell ref="D26:I26"/>
    <mergeCell ref="D27:I27"/>
    <mergeCell ref="L14:O14"/>
    <mergeCell ref="D23:I23"/>
  </mergeCells>
  <phoneticPr fontId="29" type="noConversion"/>
  <conditionalFormatting sqref="H29:H30">
    <cfRule type="cellIs" dxfId="5" priority="7" stopIfTrue="1" operator="notEqual">
      <formula>#REF!</formula>
    </cfRule>
  </conditionalFormatting>
  <conditionalFormatting sqref="H31">
    <cfRule type="cellIs" dxfId="4" priority="6" stopIfTrue="1" operator="notEqual">
      <formula>#REF!</formula>
    </cfRule>
  </conditionalFormatting>
  <dataValidations count="9">
    <dataValidation type="list" allowBlank="1" showInputMessage="1" showErrorMessage="1" sqref="B46 B52 B50">
      <formula1>"Select,Yes,No,Partially"</formula1>
    </dataValidation>
    <dataValidation type="list" allowBlank="1" showInputMessage="1" showErrorMessage="1" sqref="B44">
      <formula1>"Select,Yes,No,Partially,N/A"</formula1>
    </dataValidation>
    <dataValidation type="list" allowBlank="1" showInputMessage="1" showErrorMessage="1" sqref="B43 B45 B49">
      <formula1>"Select,Yes,No"</formula1>
    </dataValidation>
    <dataValidation type="list" allowBlank="1" showInputMessage="1" showErrorMessage="1" sqref="B47">
      <formula1>"Select,Yes,No,N/A"</formula1>
    </dataValidation>
    <dataValidation type="list" allowBlank="1" showInputMessage="1" showErrorMessage="1" sqref="H14">
      <formula1>"Select,N/A,1,2,3,4,5,6,7,8,9,10,11,12,13,14,15,16,17,18,19,20"</formula1>
    </dataValidation>
    <dataValidation type="list" allowBlank="1" showInputMessage="1" showErrorMessage="1" sqref="H6">
      <formula1>"Select,Health Systems Strengthening,HIV/AIDS,HIV/TB,Integrated,Malaria,Tuberculosis"</formula1>
    </dataValidation>
    <dataValidation type="list" allowBlank="1" showInputMessage="1" showErrorMessage="1" sqref="H10">
      <formula1>"Select,USD,EUR"</formula1>
    </dataValidation>
    <dataValidation type="list" allowBlank="1" showInputMessage="1" showErrorMessage="1" sqref="H12">
      <formula1>"Select,1,2,3,4,5,6,7,8,9,10,11,12,13,14,15,16,17,18,19,20"</formula1>
    </dataValidation>
    <dataValidation type="list" allowBlank="1" showInputMessage="1" showErrorMessage="1" sqref="B48 J34 H35">
      <formula1>"Select, Yes, No"</formula1>
    </dataValidation>
  </dataValidations>
  <printOptions horizontalCentered="1"/>
  <pageMargins left="0.74803149606299213" right="0.74803149606299213" top="0.59055118110236227" bottom="0.59055118110236227" header="0.51181102362204722" footer="0.51181102362204722"/>
  <pageSetup paperSize="9" scale="47" fitToHeight="0" orientation="landscape" cellComments="asDisplayed" r:id="rId2"/>
  <headerFooter alignWithMargins="0">
    <oddFooter>&amp;L&amp;9&amp;F&amp;C&amp;A&amp;R&amp;9Page &amp;P of &amp;N</oddFooter>
  </headerFooter>
  <rowBreaks count="1" manualBreakCount="1">
    <brk id="40" max="15" man="1"/>
  </rowBreaks>
  <ignoredErrors>
    <ignoredError sqref="D12:D13 E5:G5 G14 E14 F12:F14" unlockedFormula="1"/>
  </ignoredErrors>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pageSetUpPr fitToPage="1"/>
  </sheetPr>
  <dimension ref="A1:P82"/>
  <sheetViews>
    <sheetView view="pageBreakPreview" topLeftCell="A15" zoomScale="60" zoomScaleNormal="75" workbookViewId="0">
      <selection activeCell="S22" sqref="S22"/>
    </sheetView>
  </sheetViews>
  <sheetFormatPr defaultColWidth="13.28515625" defaultRowHeight="12.75" x14ac:dyDescent="0.2"/>
  <cols>
    <col min="1" max="1" width="2.42578125" style="761" customWidth="1"/>
    <col min="2" max="2" width="50" style="761" customWidth="1"/>
    <col min="3" max="3" width="50.140625" style="761" customWidth="1"/>
    <col min="4" max="4" width="20.85546875" style="761" customWidth="1"/>
    <col min="5" max="5" width="25.28515625" style="761" customWidth="1"/>
    <col min="6" max="6" width="36" style="761" customWidth="1"/>
    <col min="7" max="7" width="9.140625" style="761" customWidth="1"/>
    <col min="8" max="8" width="10.140625" style="761" customWidth="1"/>
    <col min="9" max="9" width="9.140625" style="761" customWidth="1"/>
    <col min="10" max="10" width="4.42578125" style="761" hidden="1" customWidth="1"/>
    <col min="11" max="11" width="60.85546875" style="761" hidden="1" customWidth="1"/>
    <col min="12" max="15" width="22" style="761" hidden="1" customWidth="1"/>
    <col min="16" max="16" width="9.140625" style="761" hidden="1" customWidth="1"/>
    <col min="17" max="224" width="9.140625" style="761" customWidth="1"/>
    <col min="225" max="225" width="2.42578125" style="761" customWidth="1"/>
    <col min="226" max="226" width="1.7109375" style="761" customWidth="1"/>
    <col min="227" max="227" width="7" style="761" customWidth="1"/>
    <col min="228" max="228" width="10.140625" style="761" customWidth="1"/>
    <col min="229" max="229" width="15" style="761" customWidth="1"/>
    <col min="230" max="233" width="5.42578125" style="761" customWidth="1"/>
    <col min="234" max="250" width="4.140625" style="761" customWidth="1"/>
    <col min="251" max="251" width="1.7109375" style="761" customWidth="1"/>
    <col min="252" max="16384" width="13.28515625" style="761"/>
  </cols>
  <sheetData>
    <row r="1" spans="1:15" ht="23.25" customHeight="1" x14ac:dyDescent="0.35">
      <c r="A1" s="2151" t="s">
        <v>629</v>
      </c>
      <c r="B1" s="2151"/>
      <c r="C1" s="2151"/>
      <c r="D1" s="1004"/>
    </row>
    <row r="2" spans="1:15" ht="9.75" customHeight="1" x14ac:dyDescent="0.35">
      <c r="A2" s="1004"/>
      <c r="B2" s="1004"/>
      <c r="C2" s="1004"/>
      <c r="D2" s="1004"/>
    </row>
    <row r="3" spans="1:15" ht="75" customHeight="1" x14ac:dyDescent="0.25">
      <c r="A3" s="1011"/>
      <c r="B3" s="2727" t="s">
        <v>203</v>
      </c>
      <c r="C3" s="2727"/>
      <c r="D3" s="2727"/>
      <c r="E3" s="2727"/>
      <c r="F3" s="1011"/>
    </row>
    <row r="5" spans="1:15" ht="18" x14ac:dyDescent="0.25">
      <c r="B5" s="1270" t="s">
        <v>235</v>
      </c>
      <c r="C5" s="1270"/>
      <c r="D5" s="1270"/>
      <c r="E5" s="1270"/>
      <c r="F5" s="1270"/>
    </row>
    <row r="7" spans="1:15" ht="15.75" x14ac:dyDescent="0.2">
      <c r="B7" s="560" t="s">
        <v>135</v>
      </c>
      <c r="C7" s="870">
        <f>'PR_Bank Details_7C'!C7</f>
        <v>0</v>
      </c>
    </row>
    <row r="9" spans="1:15" ht="15" x14ac:dyDescent="0.2">
      <c r="B9" s="1005" t="s">
        <v>136</v>
      </c>
      <c r="C9" s="1005"/>
      <c r="D9" s="1005"/>
      <c r="E9" s="1005"/>
      <c r="F9" s="1005"/>
      <c r="K9" s="1005" t="s">
        <v>136</v>
      </c>
      <c r="L9" s="1005"/>
      <c r="M9" s="1005"/>
      <c r="N9" s="1005"/>
      <c r="O9" s="1005"/>
    </row>
    <row r="10" spans="1:15" s="762" customFormat="1" ht="15" thickBot="1" x14ac:dyDescent="0.25">
      <c r="A10" s="761"/>
      <c r="B10" s="761"/>
      <c r="C10" s="761"/>
      <c r="D10" s="761"/>
      <c r="E10" s="761"/>
      <c r="F10" s="761"/>
      <c r="J10" s="761"/>
      <c r="K10" s="761"/>
      <c r="L10" s="761"/>
      <c r="M10" s="761"/>
      <c r="N10" s="761"/>
      <c r="O10" s="761"/>
    </row>
    <row r="11" spans="1:15" s="762" customFormat="1" ht="30" x14ac:dyDescent="0.25">
      <c r="B11" s="562"/>
      <c r="C11" s="563" t="s">
        <v>137</v>
      </c>
      <c r="D11" s="899" t="s">
        <v>187</v>
      </c>
      <c r="K11" s="562"/>
      <c r="L11" s="563" t="s">
        <v>137</v>
      </c>
      <c r="M11" s="899" t="s">
        <v>187</v>
      </c>
    </row>
    <row r="12" spans="1:15" s="762" customFormat="1" ht="30.75" customHeight="1" x14ac:dyDescent="0.2">
      <c r="B12" s="564" t="s">
        <v>188</v>
      </c>
      <c r="C12" s="871" t="str">
        <f>IF(C20="","",C20)</f>
        <v xml:space="preserve">Ministry of Health </v>
      </c>
      <c r="D12" s="873" t="str">
        <f>IF(C30="",C24,C30)</f>
        <v/>
      </c>
      <c r="K12" s="564" t="s">
        <v>188</v>
      </c>
      <c r="L12" s="871" t="str">
        <f>IF(L20="","",L20)</f>
        <v xml:space="preserve">Ministry of Health </v>
      </c>
      <c r="M12" s="873" t="str">
        <f>IF(L30="",L24,L30)</f>
        <v/>
      </c>
    </row>
    <row r="13" spans="1:15" s="762" customFormat="1" ht="30.75" customHeight="1" x14ac:dyDescent="0.2">
      <c r="B13" s="564" t="s">
        <v>139</v>
      </c>
      <c r="C13" s="871" t="str">
        <f>IF(C36="","",C36)</f>
        <v/>
      </c>
      <c r="D13" s="873" t="str">
        <f>IF(C46="",C40,C46)</f>
        <v/>
      </c>
      <c r="K13" s="564" t="s">
        <v>139</v>
      </c>
      <c r="L13" s="871" t="str">
        <f>IF(L36="","",L36)</f>
        <v/>
      </c>
      <c r="M13" s="873" t="str">
        <f>IF(L46="",L40,L46)</f>
        <v/>
      </c>
    </row>
    <row r="14" spans="1:15" s="762" customFormat="1" ht="30.75" customHeight="1" x14ac:dyDescent="0.2">
      <c r="B14" s="564" t="s">
        <v>140</v>
      </c>
      <c r="C14" s="871" t="str">
        <f>IF(C53="","",C53)</f>
        <v/>
      </c>
      <c r="D14" s="873" t="str">
        <f>IF(C63="",C57,C63)</f>
        <v/>
      </c>
      <c r="K14" s="564" t="s">
        <v>140</v>
      </c>
      <c r="L14" s="871" t="str">
        <f>IF(L53="","",L53)</f>
        <v/>
      </c>
      <c r="M14" s="873" t="str">
        <f>IF(L63="",L57,L63)</f>
        <v/>
      </c>
    </row>
    <row r="15" spans="1:15" s="762" customFormat="1" ht="30.75" customHeight="1" thickBot="1" x14ac:dyDescent="0.25">
      <c r="B15" s="565" t="s">
        <v>141</v>
      </c>
      <c r="C15" s="682" t="str">
        <f>IF(C69="","",C69)</f>
        <v/>
      </c>
      <c r="D15" s="874" t="str">
        <f>IF(C79="",C73,C79)</f>
        <v/>
      </c>
      <c r="H15" s="901"/>
      <c r="K15" s="565" t="s">
        <v>141</v>
      </c>
      <c r="L15" s="682" t="str">
        <f>IF(L69="","",L69)</f>
        <v/>
      </c>
      <c r="M15" s="874" t="str">
        <f>IF(L79="",L73,L79)</f>
        <v/>
      </c>
    </row>
    <row r="16" spans="1:15" s="762" customFormat="1" ht="33" customHeight="1" thickBot="1" x14ac:dyDescent="0.3">
      <c r="B16" s="900" t="s">
        <v>185</v>
      </c>
      <c r="D16" s="875">
        <f>SUM(D12:D15)</f>
        <v>0</v>
      </c>
      <c r="E16" s="2153" t="str">
        <f>IF(D16&lt;&gt;'PR_Cash Request_7A&amp;B'!D23,"The total does not match requested amount on PR signature page","")</f>
        <v>The total does not match requested amount on PR signature page</v>
      </c>
      <c r="F16" s="2154"/>
      <c r="K16" s="900" t="s">
        <v>185</v>
      </c>
      <c r="M16" s="875">
        <f>SUM(M12:M15)</f>
        <v>0</v>
      </c>
      <c r="N16" s="2153" t="str">
        <f>IF(M16&lt;&gt;'PR_Cash Request_7A&amp;B'!M23,"The total does not match requested amount on PR signature page","")</f>
        <v/>
      </c>
      <c r="O16" s="2154"/>
    </row>
    <row r="17" spans="1:15" s="762" customFormat="1" ht="6.75" customHeight="1" x14ac:dyDescent="0.2">
      <c r="G17" s="763"/>
      <c r="H17" s="763"/>
      <c r="I17" s="763"/>
    </row>
    <row r="18" spans="1:15" ht="15" x14ac:dyDescent="0.25">
      <c r="A18" s="762"/>
      <c r="B18" s="1006" t="s">
        <v>138</v>
      </c>
      <c r="C18" s="1006"/>
      <c r="D18" s="1006"/>
      <c r="E18" s="1006"/>
      <c r="F18" s="1006"/>
      <c r="J18" s="762"/>
      <c r="K18" s="1006" t="s">
        <v>138</v>
      </c>
      <c r="L18" s="1006"/>
      <c r="M18" s="1006"/>
      <c r="N18" s="1006"/>
      <c r="O18" s="1006"/>
    </row>
    <row r="19" spans="1:15" s="762" customFormat="1" ht="14.25" x14ac:dyDescent="0.2">
      <c r="A19" s="761"/>
      <c r="B19" s="761"/>
      <c r="C19" s="761"/>
      <c r="D19" s="761"/>
      <c r="E19" s="761"/>
      <c r="F19" s="761"/>
      <c r="J19" s="761"/>
      <c r="K19" s="761"/>
      <c r="L19" s="761"/>
      <c r="M19" s="761"/>
      <c r="N19" s="761"/>
      <c r="O19" s="761"/>
    </row>
    <row r="20" spans="1:15" s="762" customFormat="1" ht="33" customHeight="1" x14ac:dyDescent="0.2">
      <c r="B20" s="461" t="s">
        <v>142</v>
      </c>
      <c r="C20" s="1095" t="str">
        <f>L20</f>
        <v xml:space="preserve">Ministry of Health </v>
      </c>
      <c r="E20" s="905" t="s">
        <v>618</v>
      </c>
      <c r="F20" s="1095" t="str">
        <f>O20</f>
        <v xml:space="preserve">Royal Government of Bhutan </v>
      </c>
      <c r="K20" s="461" t="s">
        <v>142</v>
      </c>
      <c r="L20" s="1095" t="str">
        <f>IF('PR_Bank Details_7C'!C20="","",'PR_Bank Details_7C'!C20)</f>
        <v xml:space="preserve">Ministry of Health </v>
      </c>
      <c r="N20" s="905" t="s">
        <v>618</v>
      </c>
      <c r="O20" s="1095" t="str">
        <f>IF('PR_Bank Details_7C'!F20="","",'PR_Bank Details_7C'!F20)</f>
        <v xml:space="preserve">Royal Government of Bhutan </v>
      </c>
    </row>
    <row r="21" spans="1:15" s="762" customFormat="1" ht="14.25" x14ac:dyDescent="0.2">
      <c r="C21" s="1096"/>
      <c r="E21" s="903"/>
      <c r="F21" s="1102"/>
      <c r="L21" s="1096"/>
      <c r="N21" s="903"/>
      <c r="O21" s="1102"/>
    </row>
    <row r="22" spans="1:15" s="762" customFormat="1" ht="28.5" x14ac:dyDescent="0.2">
      <c r="B22" s="902" t="s">
        <v>192</v>
      </c>
      <c r="C22" s="1109" t="str">
        <f>L22</f>
        <v>USD</v>
      </c>
      <c r="E22" s="905" t="s">
        <v>618</v>
      </c>
      <c r="F22" s="1095" t="str">
        <f>O22</f>
        <v>Federal Reserve Bank of New York</v>
      </c>
      <c r="K22" s="902" t="s">
        <v>192</v>
      </c>
      <c r="L22" s="1095" t="str">
        <f>IF('PR_Bank Details_7C'!C22="","",'PR_Bank Details_7C'!C22)</f>
        <v>USD</v>
      </c>
      <c r="N22" s="905" t="s">
        <v>618</v>
      </c>
      <c r="O22" s="1095" t="str">
        <f>IF('PR_Bank Details_7C'!F22="","",'PR_Bank Details_7C'!F22)</f>
        <v>Federal Reserve Bank of New York</v>
      </c>
    </row>
    <row r="23" spans="1:15" s="762" customFormat="1" ht="14.25" x14ac:dyDescent="0.2">
      <c r="C23" s="1096"/>
      <c r="E23" s="903"/>
      <c r="F23" s="1102"/>
      <c r="L23" s="1096"/>
      <c r="N23" s="903"/>
      <c r="O23" s="1102"/>
    </row>
    <row r="24" spans="1:15" s="762" customFormat="1" ht="30" x14ac:dyDescent="0.2">
      <c r="B24" s="462" t="s">
        <v>189</v>
      </c>
      <c r="C24" s="1105" t="str">
        <f>L24</f>
        <v/>
      </c>
      <c r="D24" s="561"/>
      <c r="E24" s="905" t="s">
        <v>144</v>
      </c>
      <c r="F24" s="1095">
        <f>O24</f>
        <v>2108337</v>
      </c>
      <c r="K24" s="462" t="s">
        <v>189</v>
      </c>
      <c r="L24" s="1095" t="str">
        <f>IF('PR_Bank Details_7C'!C24="","",'PR_Bank Details_7C'!C24)</f>
        <v/>
      </c>
      <c r="M24" s="561"/>
      <c r="N24" s="905" t="s">
        <v>144</v>
      </c>
      <c r="O24" s="1095">
        <f>IF('PR_Bank Details_7C'!F24="","",'PR_Bank Details_7C'!F24)</f>
        <v>2108337</v>
      </c>
    </row>
    <row r="25" spans="1:15" s="762" customFormat="1" ht="14.25" x14ac:dyDescent="0.2">
      <c r="C25" s="1096"/>
      <c r="E25" s="903"/>
      <c r="F25" s="1102"/>
      <c r="L25" s="1096"/>
      <c r="N25" s="903"/>
      <c r="O25" s="1102"/>
    </row>
    <row r="26" spans="1:15" s="762" customFormat="1" ht="28.5" x14ac:dyDescent="0.2">
      <c r="B26" s="462" t="s">
        <v>143</v>
      </c>
      <c r="C26" s="1095" t="str">
        <f>L26</f>
        <v/>
      </c>
      <c r="E26" s="905" t="s">
        <v>193</v>
      </c>
      <c r="F26" s="1095" t="str">
        <f>O26</f>
        <v>33 Liberty Street , NY 1004 ,USA</v>
      </c>
      <c r="K26" s="462" t="s">
        <v>143</v>
      </c>
      <c r="L26" s="1095" t="str">
        <f>IF('PR_Bank Details_7C'!C26="","",'PR_Bank Details_7C'!C26)</f>
        <v/>
      </c>
      <c r="N26" s="905" t="s">
        <v>193</v>
      </c>
      <c r="O26" s="1095" t="str">
        <f>IF('PR_Bank Details_7C'!F26="","",'PR_Bank Details_7C'!F26)</f>
        <v>33 Liberty Street , NY 1004 ,USA</v>
      </c>
    </row>
    <row r="27" spans="1:15" s="762" customFormat="1" ht="14.25" x14ac:dyDescent="0.2">
      <c r="C27" s="1096"/>
      <c r="E27" s="903"/>
      <c r="F27" s="1102"/>
      <c r="L27" s="1096"/>
      <c r="N27" s="903"/>
      <c r="O27" s="1102"/>
    </row>
    <row r="28" spans="1:15" ht="40.5" x14ac:dyDescent="0.2">
      <c r="A28" s="762"/>
      <c r="B28" s="462" t="s">
        <v>190</v>
      </c>
      <c r="C28" s="1109" t="str">
        <f>L28</f>
        <v/>
      </c>
      <c r="D28" s="762"/>
      <c r="E28" s="905" t="s">
        <v>619</v>
      </c>
      <c r="F28" s="1095" t="str">
        <f>O28</f>
        <v>FRNYUS33</v>
      </c>
      <c r="J28" s="762"/>
      <c r="K28" s="462" t="s">
        <v>190</v>
      </c>
      <c r="L28" s="1095" t="str">
        <f>IF('PR_Bank Details_7C'!C28="","",'PR_Bank Details_7C'!C28)</f>
        <v/>
      </c>
      <c r="M28" s="762"/>
      <c r="N28" s="905" t="s">
        <v>619</v>
      </c>
      <c r="O28" s="1095" t="str">
        <f>IF('PR_Bank Details_7C'!F28="","",'PR_Bank Details_7C'!F28)</f>
        <v>FRNYUS33</v>
      </c>
    </row>
    <row r="29" spans="1:15" s="762" customFormat="1" ht="14.25" x14ac:dyDescent="0.2">
      <c r="A29" s="761"/>
      <c r="B29" s="761"/>
      <c r="C29" s="1097"/>
      <c r="D29" s="761"/>
      <c r="E29" s="904"/>
      <c r="F29" s="1102"/>
      <c r="J29" s="761"/>
      <c r="K29" s="761"/>
      <c r="L29" s="1097"/>
      <c r="M29" s="761"/>
      <c r="N29" s="904"/>
      <c r="O29" s="1102"/>
    </row>
    <row r="30" spans="1:15" ht="27.75" x14ac:dyDescent="0.2">
      <c r="A30" s="762"/>
      <c r="B30" s="462" t="s">
        <v>191</v>
      </c>
      <c r="C30" s="1105" t="str">
        <f>L30</f>
        <v/>
      </c>
      <c r="D30" s="762"/>
      <c r="E30" s="905" t="s">
        <v>145</v>
      </c>
      <c r="F30" s="1095" t="str">
        <f>O30</f>
        <v/>
      </c>
      <c r="J30" s="762"/>
      <c r="K30" s="462" t="s">
        <v>191</v>
      </c>
      <c r="L30" s="1095" t="str">
        <f>IF('PR_Bank Details_7C'!C30="","",'PR_Bank Details_7C'!C30)</f>
        <v/>
      </c>
      <c r="M30" s="762"/>
      <c r="N30" s="905" t="s">
        <v>145</v>
      </c>
      <c r="O30" s="1095" t="str">
        <f>IF('PR_Bank Details_7C'!F30="","",'PR_Bank Details_7C'!F30)</f>
        <v/>
      </c>
    </row>
    <row r="31" spans="1:15" s="762" customFormat="1" ht="14.25" x14ac:dyDescent="0.2">
      <c r="A31" s="761"/>
      <c r="B31" s="761"/>
      <c r="C31" s="1097"/>
      <c r="D31" s="761"/>
      <c r="E31" s="904"/>
      <c r="F31" s="1103"/>
      <c r="J31" s="761"/>
      <c r="K31" s="761"/>
      <c r="L31" s="1097"/>
      <c r="M31" s="761"/>
      <c r="N31" s="904"/>
      <c r="O31" s="1103"/>
    </row>
    <row r="32" spans="1:15" s="762" customFormat="1" ht="25.5" customHeight="1" x14ac:dyDescent="0.2">
      <c r="B32" s="907"/>
      <c r="C32" s="1098"/>
      <c r="E32" s="905" t="s">
        <v>146</v>
      </c>
      <c r="F32" s="1095" t="str">
        <f>O32</f>
        <v/>
      </c>
      <c r="K32" s="907"/>
      <c r="L32" s="1098"/>
      <c r="N32" s="905" t="s">
        <v>146</v>
      </c>
      <c r="O32" s="1095" t="str">
        <f>IF('PR_Bank Details_7C'!F32="","",'PR_Bank Details_7C'!F32)</f>
        <v/>
      </c>
    </row>
    <row r="33" spans="1:15" s="762" customFormat="1" ht="5.25" customHeight="1" x14ac:dyDescent="0.2">
      <c r="B33" s="561"/>
      <c r="C33" s="1099"/>
      <c r="F33" s="1101"/>
      <c r="G33" s="763"/>
      <c r="H33" s="763"/>
      <c r="I33" s="763"/>
      <c r="K33" s="561"/>
      <c r="L33" s="1099"/>
      <c r="O33" s="1101"/>
    </row>
    <row r="34" spans="1:15" ht="15" x14ac:dyDescent="0.25">
      <c r="A34" s="762"/>
      <c r="B34" s="1006" t="s">
        <v>139</v>
      </c>
      <c r="C34" s="1100"/>
      <c r="D34" s="1006"/>
      <c r="E34" s="1006"/>
      <c r="F34" s="1100"/>
      <c r="J34" s="762"/>
      <c r="K34" s="1006" t="s">
        <v>139</v>
      </c>
      <c r="L34" s="1100"/>
      <c r="M34" s="1006"/>
      <c r="N34" s="1006"/>
      <c r="O34" s="1100"/>
    </row>
    <row r="35" spans="1:15" s="762" customFormat="1" ht="14.25" x14ac:dyDescent="0.2">
      <c r="A35" s="761"/>
      <c r="B35" s="761"/>
      <c r="C35" s="1097"/>
      <c r="D35" s="761"/>
      <c r="E35" s="761"/>
      <c r="F35" s="1097"/>
      <c r="J35" s="761"/>
      <c r="K35" s="761"/>
      <c r="L35" s="1097"/>
      <c r="M35" s="761"/>
      <c r="N35" s="761"/>
      <c r="O35" s="1097"/>
    </row>
    <row r="36" spans="1:15" s="762" customFormat="1" ht="33" customHeight="1" x14ac:dyDescent="0.2">
      <c r="B36" s="461" t="s">
        <v>142</v>
      </c>
      <c r="C36" s="1095" t="str">
        <f>L36</f>
        <v/>
      </c>
      <c r="E36" s="905" t="s">
        <v>618</v>
      </c>
      <c r="F36" s="1095" t="str">
        <f>O36</f>
        <v/>
      </c>
      <c r="K36" s="461" t="s">
        <v>142</v>
      </c>
      <c r="L36" s="1095" t="str">
        <f>IF('PR_Bank Details_7C'!C36="","",'PR_Bank Details_7C'!C36)</f>
        <v/>
      </c>
      <c r="N36" s="905" t="s">
        <v>618</v>
      </c>
      <c r="O36" s="1095" t="str">
        <f>IF('PR_Bank Details_7C'!F36="","",'PR_Bank Details_7C'!F36)</f>
        <v/>
      </c>
    </row>
    <row r="37" spans="1:15" s="762" customFormat="1" ht="14.25" x14ac:dyDescent="0.2">
      <c r="C37" s="1096"/>
      <c r="E37" s="903"/>
      <c r="F37" s="1102"/>
      <c r="L37" s="1096"/>
      <c r="N37" s="903"/>
      <c r="O37" s="1102"/>
    </row>
    <row r="38" spans="1:15" s="762" customFormat="1" ht="27.75" x14ac:dyDescent="0.2">
      <c r="B38" s="902" t="s">
        <v>192</v>
      </c>
      <c r="C38" s="1095" t="str">
        <f>L38</f>
        <v/>
      </c>
      <c r="E38" s="905" t="s">
        <v>618</v>
      </c>
      <c r="F38" s="1095" t="str">
        <f>O38</f>
        <v/>
      </c>
      <c r="K38" s="902" t="s">
        <v>192</v>
      </c>
      <c r="L38" s="1095" t="str">
        <f>IF('PR_Bank Details_7C'!C38="","",'PR_Bank Details_7C'!C38)</f>
        <v/>
      </c>
      <c r="N38" s="905" t="s">
        <v>618</v>
      </c>
      <c r="O38" s="1095" t="str">
        <f>IF('PR_Bank Details_7C'!F38="","",'PR_Bank Details_7C'!F38)</f>
        <v/>
      </c>
    </row>
    <row r="39" spans="1:15" s="762" customFormat="1" ht="14.25" x14ac:dyDescent="0.2">
      <c r="C39" s="1096"/>
      <c r="E39" s="903"/>
      <c r="F39" s="1102"/>
      <c r="L39" s="1096"/>
      <c r="N39" s="903"/>
      <c r="O39" s="1102"/>
    </row>
    <row r="40" spans="1:15" s="762" customFormat="1" ht="30" x14ac:dyDescent="0.2">
      <c r="B40" s="462" t="s">
        <v>189</v>
      </c>
      <c r="C40" s="1105" t="str">
        <f>L40</f>
        <v/>
      </c>
      <c r="D40" s="561"/>
      <c r="E40" s="905" t="s">
        <v>144</v>
      </c>
      <c r="F40" s="1095" t="str">
        <f>O40</f>
        <v/>
      </c>
      <c r="K40" s="462" t="s">
        <v>189</v>
      </c>
      <c r="L40" s="1095" t="str">
        <f>IF('PR_Bank Details_7C'!C40="","",'PR_Bank Details_7C'!C40)</f>
        <v/>
      </c>
      <c r="M40" s="561"/>
      <c r="N40" s="905" t="s">
        <v>144</v>
      </c>
      <c r="O40" s="1095" t="str">
        <f>IF('PR_Bank Details_7C'!F40="","",'PR_Bank Details_7C'!F40)</f>
        <v/>
      </c>
    </row>
    <row r="41" spans="1:15" s="762" customFormat="1" ht="14.25" x14ac:dyDescent="0.2">
      <c r="C41" s="1096"/>
      <c r="E41" s="903"/>
      <c r="F41" s="1102"/>
      <c r="L41" s="1096"/>
      <c r="N41" s="903"/>
      <c r="O41" s="1102"/>
    </row>
    <row r="42" spans="1:15" s="762" customFormat="1" ht="15" x14ac:dyDescent="0.2">
      <c r="B42" s="462" t="s">
        <v>143</v>
      </c>
      <c r="C42" s="1095" t="str">
        <f>L42</f>
        <v/>
      </c>
      <c r="E42" s="905" t="s">
        <v>193</v>
      </c>
      <c r="F42" s="1095" t="str">
        <f>O42</f>
        <v/>
      </c>
      <c r="K42" s="462" t="s">
        <v>143</v>
      </c>
      <c r="L42" s="1095" t="str">
        <f>IF('PR_Bank Details_7C'!C42="","",'PR_Bank Details_7C'!C42)</f>
        <v/>
      </c>
      <c r="N42" s="905" t="s">
        <v>193</v>
      </c>
      <c r="O42" s="1095" t="str">
        <f>IF('PR_Bank Details_7C'!F42="","",'PR_Bank Details_7C'!F42)</f>
        <v/>
      </c>
    </row>
    <row r="43" spans="1:15" s="762" customFormat="1" ht="14.25" x14ac:dyDescent="0.2">
      <c r="C43" s="1096"/>
      <c r="E43" s="903"/>
      <c r="F43" s="1102"/>
      <c r="L43" s="1096"/>
      <c r="N43" s="903"/>
      <c r="O43" s="1102"/>
    </row>
    <row r="44" spans="1:15" ht="40.5" x14ac:dyDescent="0.2">
      <c r="A44" s="762"/>
      <c r="B44" s="462" t="s">
        <v>190</v>
      </c>
      <c r="C44" s="1108" t="str">
        <f>L44</f>
        <v/>
      </c>
      <c r="D44" s="762"/>
      <c r="E44" s="905" t="s">
        <v>619</v>
      </c>
      <c r="F44" s="1095" t="str">
        <f>O44</f>
        <v/>
      </c>
      <c r="J44" s="762"/>
      <c r="K44" s="462" t="s">
        <v>190</v>
      </c>
      <c r="L44" s="1095" t="str">
        <f>IF('PR_Bank Details_7C'!C44="","",'PR_Bank Details_7C'!C44)</f>
        <v/>
      </c>
      <c r="M44" s="762"/>
      <c r="N44" s="905" t="s">
        <v>619</v>
      </c>
      <c r="O44" s="1095" t="str">
        <f>IF('PR_Bank Details_7C'!F44="","",'PR_Bank Details_7C'!F44)</f>
        <v/>
      </c>
    </row>
    <row r="45" spans="1:15" s="762" customFormat="1" ht="14.25" x14ac:dyDescent="0.2">
      <c r="A45" s="761"/>
      <c r="B45" s="761"/>
      <c r="C45" s="1097"/>
      <c r="D45" s="761"/>
      <c r="E45" s="904"/>
      <c r="F45" s="1102"/>
      <c r="J45" s="761"/>
      <c r="K45" s="761"/>
      <c r="L45" s="1097"/>
      <c r="M45" s="761"/>
      <c r="N45" s="904"/>
      <c r="O45" s="1102"/>
    </row>
    <row r="46" spans="1:15" ht="27.75" x14ac:dyDescent="0.2">
      <c r="A46" s="762"/>
      <c r="B46" s="462" t="s">
        <v>191</v>
      </c>
      <c r="C46" s="1105" t="str">
        <f>L46</f>
        <v/>
      </c>
      <c r="D46" s="762"/>
      <c r="E46" s="905" t="s">
        <v>145</v>
      </c>
      <c r="F46" s="1095" t="str">
        <f>O46</f>
        <v/>
      </c>
      <c r="J46" s="762"/>
      <c r="K46" s="462" t="s">
        <v>191</v>
      </c>
      <c r="L46" s="1095" t="str">
        <f>IF('PR_Bank Details_7C'!C46="","",'PR_Bank Details_7C'!C46)</f>
        <v/>
      </c>
      <c r="M46" s="762"/>
      <c r="N46" s="905" t="s">
        <v>145</v>
      </c>
      <c r="O46" s="1095" t="str">
        <f>IF('PR_Bank Details_7C'!F46="","",'PR_Bank Details_7C'!F46)</f>
        <v/>
      </c>
    </row>
    <row r="47" spans="1:15" s="762" customFormat="1" ht="14.25" x14ac:dyDescent="0.2">
      <c r="A47" s="761"/>
      <c r="B47" s="761"/>
      <c r="C47" s="1097"/>
      <c r="D47" s="761"/>
      <c r="E47" s="904"/>
      <c r="F47" s="1103"/>
      <c r="J47" s="761"/>
      <c r="K47" s="761"/>
      <c r="L47" s="1097"/>
      <c r="M47" s="761"/>
      <c r="N47" s="904"/>
      <c r="O47" s="1103"/>
    </row>
    <row r="48" spans="1:15" s="762" customFormat="1" ht="25.5" customHeight="1" x14ac:dyDescent="0.2">
      <c r="B48" s="907"/>
      <c r="C48" s="1098"/>
      <c r="E48" s="905" t="s">
        <v>146</v>
      </c>
      <c r="F48" s="1095" t="str">
        <f>O48</f>
        <v/>
      </c>
      <c r="K48" s="907"/>
      <c r="L48" s="1098"/>
      <c r="N48" s="905" t="s">
        <v>146</v>
      </c>
      <c r="O48" s="1095" t="str">
        <f>IF('PR_Bank Details_7C'!F48="","",'PR_Bank Details_7C'!F48)</f>
        <v/>
      </c>
    </row>
    <row r="49" spans="1:15" s="762" customFormat="1" ht="6.75" customHeight="1" x14ac:dyDescent="0.2">
      <c r="B49" s="561"/>
      <c r="C49" s="1099"/>
      <c r="F49" s="1101"/>
      <c r="K49" s="561"/>
      <c r="L49" s="1099"/>
      <c r="O49" s="1101"/>
    </row>
    <row r="50" spans="1:15" s="762" customFormat="1" ht="8.25" customHeight="1" x14ac:dyDescent="0.2">
      <c r="C50" s="1101"/>
      <c r="F50" s="1101"/>
      <c r="G50" s="763"/>
      <c r="H50" s="763"/>
      <c r="I50" s="763"/>
      <c r="L50" s="1101"/>
      <c r="O50" s="1101"/>
    </row>
    <row r="51" spans="1:15" ht="15" x14ac:dyDescent="0.25">
      <c r="A51" s="762"/>
      <c r="B51" s="1006" t="s">
        <v>140</v>
      </c>
      <c r="C51" s="1100"/>
      <c r="D51" s="1006"/>
      <c r="E51" s="1006"/>
      <c r="F51" s="1100"/>
      <c r="J51" s="762"/>
      <c r="K51" s="1006" t="s">
        <v>140</v>
      </c>
      <c r="L51" s="1100"/>
      <c r="M51" s="1006"/>
      <c r="N51" s="1006"/>
      <c r="O51" s="1100"/>
    </row>
    <row r="52" spans="1:15" s="762" customFormat="1" ht="14.25" x14ac:dyDescent="0.2">
      <c r="A52" s="761"/>
      <c r="B52" s="761"/>
      <c r="C52" s="1097"/>
      <c r="D52" s="761"/>
      <c r="E52" s="761"/>
      <c r="F52" s="1097"/>
      <c r="J52" s="761"/>
      <c r="K52" s="761"/>
      <c r="L52" s="1097"/>
      <c r="M52" s="761"/>
      <c r="N52" s="761"/>
      <c r="O52" s="1097"/>
    </row>
    <row r="53" spans="1:15" s="762" customFormat="1" ht="33" customHeight="1" x14ac:dyDescent="0.2">
      <c r="B53" s="461" t="s">
        <v>142</v>
      </c>
      <c r="C53" s="1095" t="str">
        <f>L53</f>
        <v/>
      </c>
      <c r="E53" s="905" t="s">
        <v>618</v>
      </c>
      <c r="F53" s="1095" t="str">
        <f>O53</f>
        <v/>
      </c>
      <c r="K53" s="461" t="s">
        <v>142</v>
      </c>
      <c r="L53" s="1095" t="str">
        <f>IF('PR_Bank Details_7C'!C53="","",'PR_Bank Details_7C'!C53)</f>
        <v/>
      </c>
      <c r="N53" s="905" t="s">
        <v>618</v>
      </c>
      <c r="O53" s="1095" t="str">
        <f>IF('PR_Bank Details_7C'!F53="","",'PR_Bank Details_7C'!F53)</f>
        <v/>
      </c>
    </row>
    <row r="54" spans="1:15" s="762" customFormat="1" ht="14.25" x14ac:dyDescent="0.2">
      <c r="C54" s="1096"/>
      <c r="E54" s="903"/>
      <c r="F54" s="1102"/>
      <c r="L54" s="1096"/>
      <c r="N54" s="903"/>
      <c r="O54" s="1102"/>
    </row>
    <row r="55" spans="1:15" s="762" customFormat="1" ht="27.75" x14ac:dyDescent="0.2">
      <c r="B55" s="902" t="s">
        <v>192</v>
      </c>
      <c r="C55" s="1095" t="str">
        <f>L55</f>
        <v/>
      </c>
      <c r="E55" s="905" t="s">
        <v>618</v>
      </c>
      <c r="F55" s="1095" t="str">
        <f>O55</f>
        <v/>
      </c>
      <c r="K55" s="902" t="s">
        <v>192</v>
      </c>
      <c r="L55" s="1095" t="str">
        <f>IF('PR_Bank Details_7C'!C55="","",'PR_Bank Details_7C'!C55)</f>
        <v/>
      </c>
      <c r="N55" s="905" t="s">
        <v>618</v>
      </c>
      <c r="O55" s="1095" t="str">
        <f>IF('PR_Bank Details_7C'!F55="","",'PR_Bank Details_7C'!F55)</f>
        <v/>
      </c>
    </row>
    <row r="56" spans="1:15" s="762" customFormat="1" ht="14.25" x14ac:dyDescent="0.2">
      <c r="C56" s="1096"/>
      <c r="E56" s="903"/>
      <c r="F56" s="1102"/>
      <c r="L56" s="1096"/>
      <c r="N56" s="903"/>
      <c r="O56" s="1102"/>
    </row>
    <row r="57" spans="1:15" s="762" customFormat="1" ht="30" x14ac:dyDescent="0.2">
      <c r="B57" s="462" t="s">
        <v>189</v>
      </c>
      <c r="C57" s="1104" t="str">
        <f>L57</f>
        <v/>
      </c>
      <c r="D57" s="561"/>
      <c r="E57" s="905" t="s">
        <v>144</v>
      </c>
      <c r="F57" s="1095" t="str">
        <f>O57</f>
        <v/>
      </c>
      <c r="K57" s="462" t="s">
        <v>189</v>
      </c>
      <c r="L57" s="1095" t="str">
        <f>IF('PR_Bank Details_7C'!C57="","",'PR_Bank Details_7C'!C57)</f>
        <v/>
      </c>
      <c r="M57" s="561"/>
      <c r="N57" s="905" t="s">
        <v>144</v>
      </c>
      <c r="O57" s="1095" t="str">
        <f>IF('PR_Bank Details_7C'!F57="","",'PR_Bank Details_7C'!F57)</f>
        <v/>
      </c>
    </row>
    <row r="58" spans="1:15" s="762" customFormat="1" ht="14.25" x14ac:dyDescent="0.2">
      <c r="C58" s="1096"/>
      <c r="E58" s="903"/>
      <c r="F58" s="1102"/>
      <c r="L58" s="1096"/>
      <c r="N58" s="903"/>
      <c r="O58" s="1102"/>
    </row>
    <row r="59" spans="1:15" s="762" customFormat="1" ht="15" x14ac:dyDescent="0.2">
      <c r="B59" s="462" t="s">
        <v>143</v>
      </c>
      <c r="C59" s="1095" t="str">
        <f>L59</f>
        <v/>
      </c>
      <c r="E59" s="905" t="s">
        <v>193</v>
      </c>
      <c r="F59" s="1095" t="str">
        <f>O59</f>
        <v/>
      </c>
      <c r="K59" s="462" t="s">
        <v>143</v>
      </c>
      <c r="L59" s="1095" t="str">
        <f>IF('PR_Bank Details_7C'!C59="","",'PR_Bank Details_7C'!C59)</f>
        <v/>
      </c>
      <c r="N59" s="905" t="s">
        <v>193</v>
      </c>
      <c r="O59" s="1095" t="str">
        <f>IF('PR_Bank Details_7C'!F59="","",'PR_Bank Details_7C'!F59)</f>
        <v/>
      </c>
    </row>
    <row r="60" spans="1:15" s="762" customFormat="1" ht="14.25" x14ac:dyDescent="0.2">
      <c r="C60" s="1096"/>
      <c r="E60" s="903"/>
      <c r="F60" s="1102"/>
      <c r="L60" s="1096"/>
      <c r="N60" s="903"/>
      <c r="O60" s="1102"/>
    </row>
    <row r="61" spans="1:15" ht="40.5" x14ac:dyDescent="0.2">
      <c r="A61" s="762"/>
      <c r="B61" s="462" t="s">
        <v>190</v>
      </c>
      <c r="C61" s="1104" t="str">
        <f>L61</f>
        <v/>
      </c>
      <c r="D61" s="762"/>
      <c r="E61" s="905" t="s">
        <v>619</v>
      </c>
      <c r="F61" s="1095" t="str">
        <f>O61</f>
        <v/>
      </c>
      <c r="J61" s="762"/>
      <c r="K61" s="462" t="s">
        <v>190</v>
      </c>
      <c r="L61" s="1095" t="str">
        <f>IF('PR_Bank Details_7C'!C61="","",'PR_Bank Details_7C'!C61)</f>
        <v/>
      </c>
      <c r="M61" s="762"/>
      <c r="N61" s="905" t="s">
        <v>619</v>
      </c>
      <c r="O61" s="1095" t="str">
        <f>IF('PR_Bank Details_7C'!F61="","",'PR_Bank Details_7C'!F61)</f>
        <v/>
      </c>
    </row>
    <row r="62" spans="1:15" s="762" customFormat="1" ht="14.25" x14ac:dyDescent="0.2">
      <c r="A62" s="761"/>
      <c r="B62" s="761"/>
      <c r="C62" s="1097"/>
      <c r="D62" s="761"/>
      <c r="E62" s="904"/>
      <c r="F62" s="1102"/>
      <c r="J62" s="761"/>
      <c r="K62" s="761"/>
      <c r="L62" s="1097"/>
      <c r="M62" s="761"/>
      <c r="N62" s="904"/>
      <c r="O62" s="1102"/>
    </row>
    <row r="63" spans="1:15" ht="27.75" x14ac:dyDescent="0.2">
      <c r="A63" s="762"/>
      <c r="B63" s="462" t="s">
        <v>191</v>
      </c>
      <c r="C63" s="1104" t="str">
        <f>L63</f>
        <v/>
      </c>
      <c r="D63" s="762"/>
      <c r="E63" s="905" t="s">
        <v>145</v>
      </c>
      <c r="F63" s="1095" t="str">
        <f>O63</f>
        <v/>
      </c>
      <c r="J63" s="762"/>
      <c r="K63" s="462" t="s">
        <v>191</v>
      </c>
      <c r="L63" s="1095" t="str">
        <f>IF('PR_Bank Details_7C'!C63="","",'PR_Bank Details_7C'!C63)</f>
        <v/>
      </c>
      <c r="M63" s="762"/>
      <c r="N63" s="905" t="s">
        <v>145</v>
      </c>
      <c r="O63" s="1095" t="str">
        <f>IF('PR_Bank Details_7C'!F63="","",'PR_Bank Details_7C'!F63)</f>
        <v/>
      </c>
    </row>
    <row r="64" spans="1:15" s="762" customFormat="1" ht="14.25" x14ac:dyDescent="0.2">
      <c r="A64" s="761"/>
      <c r="B64" s="761"/>
      <c r="C64" s="1097"/>
      <c r="D64" s="761"/>
      <c r="E64" s="904"/>
      <c r="F64" s="1103"/>
      <c r="J64" s="761"/>
      <c r="K64" s="761"/>
      <c r="L64" s="1097"/>
      <c r="M64" s="761"/>
      <c r="N64" s="904"/>
      <c r="O64" s="1103"/>
    </row>
    <row r="65" spans="1:15" s="762" customFormat="1" ht="25.5" customHeight="1" x14ac:dyDescent="0.2">
      <c r="B65" s="907"/>
      <c r="C65" s="1098"/>
      <c r="E65" s="905" t="s">
        <v>146</v>
      </c>
      <c r="F65" s="1095" t="str">
        <f>O65</f>
        <v/>
      </c>
      <c r="K65" s="907"/>
      <c r="L65" s="1098"/>
      <c r="N65" s="905" t="s">
        <v>146</v>
      </c>
      <c r="O65" s="1095" t="str">
        <f>IF('PR_Bank Details_7C'!F65="","",'PR_Bank Details_7C'!F65)</f>
        <v/>
      </c>
    </row>
    <row r="66" spans="1:15" s="762" customFormat="1" ht="6.75" customHeight="1" x14ac:dyDescent="0.2">
      <c r="B66" s="561"/>
      <c r="C66" s="1099"/>
      <c r="F66" s="1101"/>
      <c r="G66" s="763"/>
      <c r="H66" s="763"/>
      <c r="I66" s="763"/>
      <c r="K66" s="561"/>
      <c r="L66" s="1099"/>
      <c r="O66" s="1101"/>
    </row>
    <row r="67" spans="1:15" ht="15" x14ac:dyDescent="0.25">
      <c r="A67" s="762"/>
      <c r="B67" s="1006" t="s">
        <v>141</v>
      </c>
      <c r="C67" s="1100"/>
      <c r="D67" s="1006"/>
      <c r="E67" s="1006"/>
      <c r="F67" s="1100"/>
      <c r="J67" s="762"/>
      <c r="K67" s="1006" t="s">
        <v>141</v>
      </c>
      <c r="L67" s="1100"/>
      <c r="M67" s="1006"/>
      <c r="N67" s="1006"/>
      <c r="O67" s="1100"/>
    </row>
    <row r="68" spans="1:15" s="762" customFormat="1" ht="14.25" x14ac:dyDescent="0.2">
      <c r="A68" s="761"/>
      <c r="B68" s="761"/>
      <c r="C68" s="1097"/>
      <c r="D68" s="761"/>
      <c r="E68" s="761"/>
      <c r="F68" s="1097"/>
      <c r="J68" s="761"/>
      <c r="K68" s="761"/>
      <c r="L68" s="1097"/>
      <c r="M68" s="761"/>
      <c r="N68" s="761"/>
      <c r="O68" s="1097"/>
    </row>
    <row r="69" spans="1:15" s="762" customFormat="1" ht="33" customHeight="1" x14ac:dyDescent="0.2">
      <c r="B69" s="461" t="s">
        <v>142</v>
      </c>
      <c r="C69" s="1095" t="str">
        <f>L69</f>
        <v/>
      </c>
      <c r="E69" s="905" t="s">
        <v>618</v>
      </c>
      <c r="F69" s="1095" t="str">
        <f>O69</f>
        <v/>
      </c>
      <c r="K69" s="461" t="s">
        <v>142</v>
      </c>
      <c r="L69" s="1095" t="str">
        <f>IF('PR_Bank Details_7C'!C69="","",'PR_Bank Details_7C'!C69)</f>
        <v/>
      </c>
      <c r="N69" s="905" t="s">
        <v>618</v>
      </c>
      <c r="O69" s="1095" t="str">
        <f>IF('PR_Bank Details_7C'!F69="","",'PR_Bank Details_7C'!F69)</f>
        <v/>
      </c>
    </row>
    <row r="70" spans="1:15" s="762" customFormat="1" ht="14.25" x14ac:dyDescent="0.2">
      <c r="C70" s="1096"/>
      <c r="E70" s="903"/>
      <c r="F70" s="1102"/>
      <c r="L70" s="1096"/>
      <c r="N70" s="903"/>
      <c r="O70" s="1102"/>
    </row>
    <row r="71" spans="1:15" s="762" customFormat="1" ht="27.75" x14ac:dyDescent="0.2">
      <c r="B71" s="902" t="s">
        <v>192</v>
      </c>
      <c r="C71" s="1095" t="str">
        <f>L71</f>
        <v/>
      </c>
      <c r="E71" s="905" t="s">
        <v>618</v>
      </c>
      <c r="F71" s="1095" t="str">
        <f>O71</f>
        <v/>
      </c>
      <c r="K71" s="902" t="s">
        <v>192</v>
      </c>
      <c r="L71" s="1095" t="str">
        <f>IF('PR_Bank Details_7C'!C71="","",'PR_Bank Details_7C'!C71)</f>
        <v/>
      </c>
      <c r="N71" s="905" t="s">
        <v>618</v>
      </c>
      <c r="O71" s="1095" t="str">
        <f>IF('PR_Bank Details_7C'!F71="","",'PR_Bank Details_7C'!F71)</f>
        <v/>
      </c>
    </row>
    <row r="72" spans="1:15" s="762" customFormat="1" ht="14.25" x14ac:dyDescent="0.2">
      <c r="C72" s="1096"/>
      <c r="E72" s="903"/>
      <c r="F72" s="1102"/>
      <c r="L72" s="1096"/>
      <c r="N72" s="903"/>
      <c r="O72" s="1102"/>
    </row>
    <row r="73" spans="1:15" s="762" customFormat="1" ht="30" x14ac:dyDescent="0.2">
      <c r="B73" s="462" t="s">
        <v>189</v>
      </c>
      <c r="C73" s="1106" t="str">
        <f>L73</f>
        <v/>
      </c>
      <c r="D73" s="561"/>
      <c r="E73" s="905" t="s">
        <v>144</v>
      </c>
      <c r="F73" s="1095" t="str">
        <f>O73</f>
        <v/>
      </c>
      <c r="K73" s="462" t="s">
        <v>189</v>
      </c>
      <c r="L73" s="1095" t="str">
        <f>IF('PR_Bank Details_7C'!C73="","",'PR_Bank Details_7C'!C73)</f>
        <v/>
      </c>
      <c r="M73" s="561"/>
      <c r="N73" s="905" t="s">
        <v>144</v>
      </c>
      <c r="O73" s="1095" t="str">
        <f>IF('PR_Bank Details_7C'!F73="","",'PR_Bank Details_7C'!F73)</f>
        <v/>
      </c>
    </row>
    <row r="74" spans="1:15" s="762" customFormat="1" ht="14.25" x14ac:dyDescent="0.2">
      <c r="C74" s="1096"/>
      <c r="E74" s="903"/>
      <c r="F74" s="1102"/>
      <c r="L74" s="1096"/>
      <c r="N74" s="903"/>
      <c r="O74" s="1102"/>
    </row>
    <row r="75" spans="1:15" s="762" customFormat="1" ht="15" x14ac:dyDescent="0.2">
      <c r="B75" s="462" t="s">
        <v>143</v>
      </c>
      <c r="C75" s="1095" t="str">
        <f>L75</f>
        <v/>
      </c>
      <c r="E75" s="905" t="s">
        <v>193</v>
      </c>
      <c r="F75" s="1095" t="str">
        <f>O75</f>
        <v/>
      </c>
      <c r="K75" s="462" t="s">
        <v>143</v>
      </c>
      <c r="L75" s="1095" t="str">
        <f>IF('PR_Bank Details_7C'!C75="","",'PR_Bank Details_7C'!C75)</f>
        <v/>
      </c>
      <c r="N75" s="905" t="s">
        <v>193</v>
      </c>
      <c r="O75" s="1095" t="str">
        <f>IF('PR_Bank Details_7C'!F75="","",'PR_Bank Details_7C'!F75)</f>
        <v/>
      </c>
    </row>
    <row r="76" spans="1:15" s="762" customFormat="1" ht="14.25" x14ac:dyDescent="0.2">
      <c r="C76" s="1096"/>
      <c r="E76" s="903"/>
      <c r="F76" s="1102"/>
      <c r="L76" s="1096"/>
      <c r="N76" s="903"/>
      <c r="O76" s="1102"/>
    </row>
    <row r="77" spans="1:15" ht="40.5" x14ac:dyDescent="0.2">
      <c r="A77" s="762"/>
      <c r="B77" s="462" t="s">
        <v>190</v>
      </c>
      <c r="C77" s="1107" t="str">
        <f>L77</f>
        <v/>
      </c>
      <c r="D77" s="762"/>
      <c r="E77" s="905" t="s">
        <v>619</v>
      </c>
      <c r="F77" s="1095" t="str">
        <f>O77</f>
        <v/>
      </c>
      <c r="J77" s="762"/>
      <c r="K77" s="462" t="s">
        <v>190</v>
      </c>
      <c r="L77" s="1095" t="str">
        <f>IF('PR_Bank Details_7C'!C77="","",'PR_Bank Details_7C'!C77)</f>
        <v/>
      </c>
      <c r="M77" s="762"/>
      <c r="N77" s="905" t="s">
        <v>619</v>
      </c>
      <c r="O77" s="1095" t="str">
        <f>IF('PR_Bank Details_7C'!F77="","",'PR_Bank Details_7C'!F77)</f>
        <v/>
      </c>
    </row>
    <row r="78" spans="1:15" s="762" customFormat="1" ht="14.25" x14ac:dyDescent="0.2">
      <c r="A78" s="761"/>
      <c r="B78" s="761"/>
      <c r="C78" s="1097"/>
      <c r="D78" s="761"/>
      <c r="E78" s="904"/>
      <c r="F78" s="1102"/>
      <c r="J78" s="761"/>
      <c r="K78" s="761"/>
      <c r="L78" s="1097"/>
      <c r="M78" s="761"/>
      <c r="N78" s="904"/>
      <c r="O78" s="1102"/>
    </row>
    <row r="79" spans="1:15" ht="27.75" x14ac:dyDescent="0.2">
      <c r="A79" s="762"/>
      <c r="B79" s="462" t="s">
        <v>191</v>
      </c>
      <c r="C79" s="1106" t="str">
        <f>L79</f>
        <v/>
      </c>
      <c r="D79" s="762"/>
      <c r="E79" s="905" t="s">
        <v>145</v>
      </c>
      <c r="F79" s="1095" t="str">
        <f>O79</f>
        <v/>
      </c>
      <c r="J79" s="762"/>
      <c r="K79" s="462" t="s">
        <v>191</v>
      </c>
      <c r="L79" s="1095" t="str">
        <f>IF('PR_Bank Details_7C'!C79="","",'PR_Bank Details_7C'!C79)</f>
        <v/>
      </c>
      <c r="M79" s="762"/>
      <c r="N79" s="905" t="s">
        <v>145</v>
      </c>
      <c r="O79" s="1095" t="str">
        <f>IF('PR_Bank Details_7C'!F79="","",'PR_Bank Details_7C'!F79)</f>
        <v/>
      </c>
    </row>
    <row r="80" spans="1:15" s="762" customFormat="1" ht="14.25" x14ac:dyDescent="0.2">
      <c r="A80" s="761"/>
      <c r="B80" s="761"/>
      <c r="C80" s="761"/>
      <c r="D80" s="761"/>
      <c r="E80" s="904"/>
      <c r="F80" s="1103"/>
      <c r="J80" s="761"/>
      <c r="K80" s="761"/>
      <c r="L80" s="761"/>
      <c r="M80" s="761"/>
      <c r="N80" s="904"/>
      <c r="O80" s="1103"/>
    </row>
    <row r="81" spans="1:15" s="762" customFormat="1" ht="25.5" customHeight="1" x14ac:dyDescent="0.2">
      <c r="B81" s="907"/>
      <c r="C81" s="908"/>
      <c r="E81" s="905" t="s">
        <v>146</v>
      </c>
      <c r="F81" s="1095" t="str">
        <f>O81</f>
        <v/>
      </c>
      <c r="K81" s="907"/>
      <c r="L81" s="908"/>
      <c r="N81" s="905" t="s">
        <v>146</v>
      </c>
      <c r="O81" s="1095" t="str">
        <f>IF('PR_Bank Details_7C'!F81="","",'PR_Bank Details_7C'!F81)</f>
        <v/>
      </c>
    </row>
    <row r="82" spans="1:15" ht="4.5" customHeight="1" x14ac:dyDescent="0.2">
      <c r="A82" s="762"/>
      <c r="B82" s="561"/>
      <c r="C82" s="561"/>
      <c r="D82" s="762"/>
      <c r="E82" s="762"/>
      <c r="F82" s="762"/>
    </row>
  </sheetData>
  <sheetProtection password="92D1" sheet="1"/>
  <mergeCells count="4">
    <mergeCell ref="B3:E3"/>
    <mergeCell ref="A1:C1"/>
    <mergeCell ref="E16:F16"/>
    <mergeCell ref="N16:O16"/>
  </mergeCells>
  <phoneticPr fontId="0" type="noConversion"/>
  <conditionalFormatting sqref="E16">
    <cfRule type="cellIs" dxfId="3" priority="9" operator="equal">
      <formula>""</formula>
    </cfRule>
  </conditionalFormatting>
  <conditionalFormatting sqref="N16">
    <cfRule type="cellIs" dxfId="2" priority="2" operator="equal">
      <formula>""</formula>
    </cfRule>
  </conditionalFormatting>
  <conditionalFormatting sqref="C12:D16 C20 C24 C26 C28 F20 F22 F24 F26 F28 F30 F32 C36 C38 C42 C44 F36 F38 F40 F42 F44 F46:F48 C53 C55 C59 F53 F55 F57 F59 F61 F63 F65 C69 C75 F69 F71 F73 F75 F77 F79 F81 C40 C46 C57 C61 C63 C71:C73 C77 C79 C22 C30">
    <cfRule type="cellIs" dxfId="1" priority="1" operator="notEqual">
      <formula>L12</formula>
    </cfRule>
  </conditionalFormatting>
  <pageMargins left="0.70866141732283472" right="0.70866141732283472" top="0.74803149606299213" bottom="0.74803149606299213" header="0.31496062992125984" footer="0.31496062992125984"/>
  <pageSetup paperSize="9" scale="48" fitToHeight="0" orientation="portrait" r:id="rId1"/>
  <rowBreaks count="1" manualBreakCount="1">
    <brk id="49"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pageSetUpPr fitToPage="1"/>
  </sheetPr>
  <dimension ref="A1:Q45"/>
  <sheetViews>
    <sheetView showGridLines="0" view="pageBreakPreview" topLeftCell="E1" zoomScale="70" zoomScaleNormal="25" zoomScaleSheetLayoutView="70" workbookViewId="0">
      <selection activeCell="O19" sqref="O19:P19"/>
    </sheetView>
  </sheetViews>
  <sheetFormatPr defaultRowHeight="12.75" outlineLevelRow="1" x14ac:dyDescent="0.2"/>
  <cols>
    <col min="1" max="1" width="13.28515625" style="63" customWidth="1"/>
    <col min="2" max="2" width="8.85546875" style="63" customWidth="1"/>
    <col min="3" max="3" width="28.7109375" style="63" customWidth="1"/>
    <col min="4" max="4" width="19.85546875" style="63" customWidth="1"/>
    <col min="5" max="5" width="16" style="63" customWidth="1"/>
    <col min="6" max="6" width="10.28515625" style="63" customWidth="1"/>
    <col min="7" max="7" width="17" style="63" customWidth="1"/>
    <col min="8" max="8" width="14.85546875" style="63" customWidth="1"/>
    <col min="9" max="9" width="13.85546875" style="63" customWidth="1"/>
    <col min="10" max="10" width="12.5703125" style="63" customWidth="1"/>
    <col min="11" max="11" width="11.28515625" style="63" customWidth="1"/>
    <col min="12" max="12" width="15.7109375" style="63" customWidth="1"/>
    <col min="13" max="13" width="16" style="1734" customWidth="1"/>
    <col min="14" max="14" width="18.42578125" style="63" customWidth="1"/>
    <col min="15" max="15" width="16" style="63" customWidth="1"/>
    <col min="16" max="16" width="56.5703125" style="63" customWidth="1"/>
    <col min="17" max="17" width="8.42578125" style="63" customWidth="1"/>
    <col min="18" max="16384" width="9.140625" style="63"/>
  </cols>
  <sheetData>
    <row r="1" spans="1:17" ht="25.5" customHeight="1" x14ac:dyDescent="0.2">
      <c r="A1" s="1741" t="s">
        <v>410</v>
      </c>
      <c r="B1" s="1741"/>
      <c r="C1" s="1741"/>
      <c r="D1" s="1741"/>
      <c r="E1" s="1741"/>
      <c r="F1" s="1741"/>
      <c r="G1" s="1741"/>
      <c r="H1" s="491"/>
      <c r="I1" s="491"/>
      <c r="J1" s="35"/>
      <c r="K1" s="35"/>
      <c r="L1" s="12"/>
      <c r="M1" s="1728"/>
      <c r="N1" s="12"/>
      <c r="O1" s="12"/>
      <c r="P1" s="12"/>
      <c r="Q1" s="13"/>
    </row>
    <row r="2" spans="1:17" ht="18.75" customHeight="1" thickBot="1" x14ac:dyDescent="0.3">
      <c r="A2" s="98" t="s">
        <v>504</v>
      </c>
      <c r="B2" s="98"/>
      <c r="C2" s="10"/>
      <c r="D2" s="10"/>
      <c r="E2" s="36"/>
      <c r="F2" s="10"/>
      <c r="G2" s="10"/>
      <c r="H2" s="10"/>
      <c r="I2" s="10"/>
      <c r="J2" s="10"/>
      <c r="K2" s="12"/>
      <c r="L2" s="12"/>
      <c r="M2" s="1728"/>
      <c r="N2" s="12"/>
      <c r="O2" s="12"/>
      <c r="P2" s="13"/>
      <c r="Q2" s="13"/>
    </row>
    <row r="3" spans="1:17" s="73" customFormat="1" ht="25.5" customHeight="1" thickBot="1" x14ac:dyDescent="0.25">
      <c r="A3" s="1742" t="s">
        <v>419</v>
      </c>
      <c r="B3" s="1801"/>
      <c r="C3" s="1743"/>
      <c r="D3" s="1803" t="str">
        <f>IF('PR_Programmatic Progress_1A'!C7="","",'PR_Programmatic Progress_1A'!C7)</f>
        <v>BTN-607-G03-H</v>
      </c>
      <c r="E3" s="1804"/>
      <c r="F3" s="1804"/>
      <c r="G3" s="1805"/>
      <c r="H3" s="4"/>
      <c r="I3" s="170"/>
      <c r="J3" s="4"/>
      <c r="K3" s="4"/>
      <c r="L3" s="4"/>
      <c r="M3" s="1729"/>
      <c r="N3" s="4"/>
      <c r="O3" s="4"/>
      <c r="P3" s="4"/>
      <c r="Q3" s="4"/>
    </row>
    <row r="4" spans="1:17" s="73" customFormat="1" ht="15" customHeight="1" x14ac:dyDescent="0.2">
      <c r="A4" s="492" t="s">
        <v>621</v>
      </c>
      <c r="B4" s="512"/>
      <c r="C4" s="512"/>
      <c r="D4" s="53" t="s">
        <v>627</v>
      </c>
      <c r="E4" s="504" t="str">
        <f>IF('PR_Programmatic Progress_1A'!D12="Select","",'PR_Programmatic Progress_1A'!D12)</f>
        <v>Quarter</v>
      </c>
      <c r="F4" s="5" t="s">
        <v>628</v>
      </c>
      <c r="G4" s="47">
        <f>IF('PR_Programmatic Progress_1A'!F12="Select","",'PR_Programmatic Progress_1A'!F12)</f>
        <v>17</v>
      </c>
      <c r="H4" s="4"/>
      <c r="I4" s="4"/>
      <c r="J4" s="4"/>
      <c r="K4" s="4"/>
      <c r="L4" s="4"/>
      <c r="M4" s="1729"/>
      <c r="N4" s="4"/>
      <c r="O4" s="4"/>
      <c r="P4" s="4"/>
      <c r="Q4" s="4"/>
    </row>
    <row r="5" spans="1:17" s="73" customFormat="1" ht="15" customHeight="1" x14ac:dyDescent="0.2">
      <c r="A5" s="513" t="s">
        <v>622</v>
      </c>
      <c r="B5" s="40"/>
      <c r="C5" s="40"/>
      <c r="D5" s="54" t="s">
        <v>590</v>
      </c>
      <c r="E5" s="519">
        <f>IF('PR_Programmatic Progress_1A'!D13="","",'PR_Programmatic Progress_1A'!D13)</f>
        <v>40940</v>
      </c>
      <c r="F5" s="5" t="s">
        <v>608</v>
      </c>
      <c r="G5" s="520">
        <f>IF('PR_Programmatic Progress_1A'!F13="","",'PR_Programmatic Progress_1A'!F13)</f>
        <v>41029</v>
      </c>
      <c r="H5" s="4"/>
      <c r="I5" s="4"/>
      <c r="J5" s="4"/>
      <c r="K5" s="4"/>
      <c r="L5" s="4"/>
      <c r="M5" s="1729"/>
      <c r="N5" s="4"/>
      <c r="O5" s="4"/>
      <c r="P5" s="4"/>
      <c r="Q5" s="4"/>
    </row>
    <row r="6" spans="1:17" s="73" customFormat="1" ht="15" customHeight="1" thickBot="1" x14ac:dyDescent="0.25">
      <c r="A6" s="55" t="s">
        <v>623</v>
      </c>
      <c r="B6" s="167"/>
      <c r="C6" s="41"/>
      <c r="D6" s="1816">
        <f>IF('PR_Programmatic Progress_1A'!C14="Select","",'PR_Programmatic Progress_1A'!C14)</f>
        <v>17</v>
      </c>
      <c r="E6" s="1817"/>
      <c r="F6" s="1817"/>
      <c r="G6" s="1818"/>
      <c r="H6" s="4"/>
      <c r="I6" s="4"/>
      <c r="J6" s="4"/>
      <c r="K6" s="4"/>
      <c r="L6" s="4"/>
      <c r="M6" s="1729"/>
      <c r="N6" s="4"/>
      <c r="O6" s="4"/>
      <c r="P6" s="4"/>
      <c r="Q6" s="21"/>
    </row>
    <row r="7" spans="1:17" s="73" customFormat="1" ht="6" customHeight="1" x14ac:dyDescent="0.2">
      <c r="A7" s="466"/>
      <c r="B7" s="466"/>
      <c r="C7" s="466"/>
      <c r="D7" s="82"/>
      <c r="E7" s="82"/>
      <c r="F7" s="82"/>
      <c r="G7" s="82"/>
      <c r="J7" s="4"/>
      <c r="K7" s="4"/>
      <c r="L7" s="4"/>
      <c r="M7" s="1729"/>
      <c r="N7" s="4"/>
      <c r="O7" s="4"/>
      <c r="P7" s="4"/>
      <c r="Q7" s="21"/>
    </row>
    <row r="8" spans="1:17" s="14" customFormat="1" ht="22.5" customHeight="1" thickBot="1" x14ac:dyDescent="0.25">
      <c r="A8" s="464" t="s">
        <v>249</v>
      </c>
      <c r="B8" s="33"/>
      <c r="C8" s="45"/>
      <c r="D8" s="45"/>
      <c r="E8" s="45"/>
      <c r="F8" s="45"/>
      <c r="G8" s="45"/>
      <c r="H8" s="45"/>
      <c r="I8" s="45"/>
      <c r="J8" s="45"/>
      <c r="K8" s="45"/>
      <c r="L8" s="45"/>
      <c r="M8" s="1730"/>
      <c r="N8" s="45"/>
      <c r="O8" s="45"/>
      <c r="P8" s="45"/>
      <c r="Q8" s="337"/>
    </row>
    <row r="9" spans="1:17" s="67" customFormat="1" ht="20.25" customHeight="1" x14ac:dyDescent="0.2">
      <c r="A9" s="1806" t="s">
        <v>241</v>
      </c>
      <c r="B9" s="1807"/>
      <c r="C9" s="1807"/>
      <c r="D9" s="1807"/>
      <c r="E9" s="1807"/>
      <c r="F9" s="1807"/>
      <c r="G9" s="1808"/>
      <c r="H9" s="1808"/>
      <c r="I9" s="1808"/>
      <c r="J9" s="1807"/>
      <c r="K9" s="1807"/>
      <c r="L9" s="1807"/>
      <c r="M9" s="1807"/>
      <c r="N9" s="1807"/>
      <c r="O9" s="1807"/>
      <c r="P9" s="1809"/>
      <c r="Q9" s="338"/>
    </row>
    <row r="10" spans="1:17" ht="31.5" customHeight="1" x14ac:dyDescent="0.2">
      <c r="A10" s="1768" t="s">
        <v>153</v>
      </c>
      <c r="B10" s="1768" t="s">
        <v>323</v>
      </c>
      <c r="C10" s="1762" t="s">
        <v>593</v>
      </c>
      <c r="D10" s="1763"/>
      <c r="E10" s="1763"/>
      <c r="F10" s="1763"/>
      <c r="G10" s="1762" t="s">
        <v>164</v>
      </c>
      <c r="H10" s="1768" t="s">
        <v>242</v>
      </c>
      <c r="I10" s="1768" t="s">
        <v>350</v>
      </c>
      <c r="J10" s="1813" t="s">
        <v>133</v>
      </c>
      <c r="K10" s="1814"/>
      <c r="L10" s="1811" t="s">
        <v>157</v>
      </c>
      <c r="M10" s="1768" t="s">
        <v>158</v>
      </c>
      <c r="N10" s="1768" t="s">
        <v>422</v>
      </c>
      <c r="O10" s="1762" t="s">
        <v>374</v>
      </c>
      <c r="P10" s="1821"/>
      <c r="Q10" s="527"/>
    </row>
    <row r="11" spans="1:17" ht="58.5" customHeight="1" x14ac:dyDescent="0.2">
      <c r="A11" s="1810"/>
      <c r="B11" s="1802"/>
      <c r="C11" s="1815"/>
      <c r="D11" s="1819"/>
      <c r="E11" s="1819"/>
      <c r="F11" s="1819"/>
      <c r="G11" s="1815"/>
      <c r="H11" s="1810"/>
      <c r="I11" s="1810"/>
      <c r="J11" s="57" t="s">
        <v>591</v>
      </c>
      <c r="K11" s="57" t="s">
        <v>592</v>
      </c>
      <c r="L11" s="1812"/>
      <c r="M11" s="1820"/>
      <c r="N11" s="1810"/>
      <c r="O11" s="1822"/>
      <c r="P11" s="1823"/>
      <c r="Q11" s="13"/>
    </row>
    <row r="12" spans="1:17" ht="81" customHeight="1" x14ac:dyDescent="0.2">
      <c r="A12" s="1057">
        <v>1</v>
      </c>
      <c r="B12" s="1057">
        <v>1.1000000000000001</v>
      </c>
      <c r="C12" s="1798" t="s">
        <v>667</v>
      </c>
      <c r="D12" s="1799"/>
      <c r="E12" s="1799"/>
      <c r="F12" s="1799"/>
      <c r="G12" s="715" t="s">
        <v>668</v>
      </c>
      <c r="H12" s="1058" t="s">
        <v>679</v>
      </c>
      <c r="I12" s="715" t="s">
        <v>681</v>
      </c>
      <c r="J12" s="1388">
        <v>0</v>
      </c>
      <c r="K12" s="1387">
        <v>2006</v>
      </c>
      <c r="L12" s="1388">
        <v>80100</v>
      </c>
      <c r="M12" s="1731">
        <f>13500+6080+4526+21422+10301+19368</f>
        <v>75197</v>
      </c>
      <c r="N12" s="1120">
        <f>M12/L12</f>
        <v>0.93878901373283397</v>
      </c>
      <c r="O12" s="1798" t="s">
        <v>1167</v>
      </c>
      <c r="P12" s="1800"/>
      <c r="Q12" s="185"/>
    </row>
    <row r="13" spans="1:17" ht="175.5" customHeight="1" x14ac:dyDescent="0.2">
      <c r="A13" s="1057">
        <v>1</v>
      </c>
      <c r="B13" s="1057">
        <v>1.2</v>
      </c>
      <c r="C13" s="1798" t="s">
        <v>669</v>
      </c>
      <c r="D13" s="1799"/>
      <c r="E13" s="1799"/>
      <c r="F13" s="1799"/>
      <c r="G13" s="715" t="s">
        <v>668</v>
      </c>
      <c r="H13" s="1058" t="s">
        <v>679</v>
      </c>
      <c r="I13" s="715" t="s">
        <v>366</v>
      </c>
      <c r="J13" s="1388">
        <v>0</v>
      </c>
      <c r="K13" s="1387">
        <v>2006</v>
      </c>
      <c r="L13" s="1388">
        <v>729</v>
      </c>
      <c r="M13" s="1731">
        <v>578</v>
      </c>
      <c r="N13" s="1120">
        <f>M13/L13</f>
        <v>0.79286694101508914</v>
      </c>
      <c r="O13" s="1798" t="s">
        <v>1168</v>
      </c>
      <c r="P13" s="1800"/>
      <c r="Q13" s="185"/>
    </row>
    <row r="14" spans="1:17" ht="48" customHeight="1" x14ac:dyDescent="0.2">
      <c r="A14" s="1057">
        <v>1</v>
      </c>
      <c r="B14" s="1057">
        <v>1.3</v>
      </c>
      <c r="C14" s="1798" t="s">
        <v>670</v>
      </c>
      <c r="D14" s="1799"/>
      <c r="E14" s="1799"/>
      <c r="F14" s="1799"/>
      <c r="G14" s="715" t="s">
        <v>712</v>
      </c>
      <c r="H14" s="1058" t="s">
        <v>680</v>
      </c>
      <c r="I14" s="715" t="s">
        <v>681</v>
      </c>
      <c r="J14" s="1388">
        <v>45</v>
      </c>
      <c r="K14" s="1387">
        <v>2009</v>
      </c>
      <c r="L14" s="1388" t="s">
        <v>665</v>
      </c>
      <c r="M14" s="1731">
        <v>0</v>
      </c>
      <c r="N14" s="1120"/>
      <c r="O14" s="1798" t="s">
        <v>1169</v>
      </c>
      <c r="P14" s="1800"/>
      <c r="Q14" s="185"/>
    </row>
    <row r="15" spans="1:17" ht="200.25" customHeight="1" x14ac:dyDescent="0.2">
      <c r="A15" s="1057">
        <v>1</v>
      </c>
      <c r="B15" s="1057">
        <v>1.4</v>
      </c>
      <c r="C15" s="1798" t="s">
        <v>671</v>
      </c>
      <c r="D15" s="1799"/>
      <c r="E15" s="1799"/>
      <c r="F15" s="1799"/>
      <c r="G15" s="715" t="s">
        <v>668</v>
      </c>
      <c r="H15" s="1058" t="s">
        <v>679</v>
      </c>
      <c r="I15" s="715" t="s">
        <v>681</v>
      </c>
      <c r="J15" s="1388" t="s">
        <v>665</v>
      </c>
      <c r="K15" s="1387">
        <v>2008</v>
      </c>
      <c r="L15" s="1388">
        <v>23350</v>
      </c>
      <c r="M15" s="1731">
        <v>23365</v>
      </c>
      <c r="N15" s="1120">
        <f t="shared" ref="N15:N22" si="0">M15/L15</f>
        <v>1.0006423982869379</v>
      </c>
      <c r="O15" s="1798" t="s">
        <v>1170</v>
      </c>
      <c r="P15" s="1800"/>
      <c r="Q15" s="185"/>
    </row>
    <row r="16" spans="1:17" ht="90" customHeight="1" x14ac:dyDescent="0.2">
      <c r="A16" s="1057">
        <v>1</v>
      </c>
      <c r="B16" s="1057">
        <v>1.5</v>
      </c>
      <c r="C16" s="1798" t="s">
        <v>672</v>
      </c>
      <c r="D16" s="1799"/>
      <c r="E16" s="1799"/>
      <c r="F16" s="1799"/>
      <c r="G16" s="715" t="s">
        <v>668</v>
      </c>
      <c r="H16" s="1058" t="s">
        <v>679</v>
      </c>
      <c r="I16" s="715" t="s">
        <v>681</v>
      </c>
      <c r="J16" s="1388">
        <v>0</v>
      </c>
      <c r="K16" s="1387">
        <v>2006</v>
      </c>
      <c r="L16" s="1388">
        <v>897</v>
      </c>
      <c r="M16" s="1731">
        <v>816</v>
      </c>
      <c r="N16" s="1120">
        <f t="shared" si="0"/>
        <v>0.90969899665551834</v>
      </c>
      <c r="O16" s="1798" t="s">
        <v>1170</v>
      </c>
      <c r="P16" s="1800"/>
      <c r="Q16" s="185"/>
    </row>
    <row r="17" spans="1:17" ht="60.75" customHeight="1" x14ac:dyDescent="0.2">
      <c r="A17" s="1057">
        <v>1</v>
      </c>
      <c r="B17" s="1057">
        <v>1.6</v>
      </c>
      <c r="C17" s="1798" t="s">
        <v>673</v>
      </c>
      <c r="D17" s="1799"/>
      <c r="E17" s="1799"/>
      <c r="F17" s="1799"/>
      <c r="G17" s="715" t="s">
        <v>677</v>
      </c>
      <c r="H17" s="1058" t="s">
        <v>679</v>
      </c>
      <c r="I17" s="715" t="s">
        <v>681</v>
      </c>
      <c r="J17" s="1388">
        <v>100</v>
      </c>
      <c r="K17" s="1387">
        <v>2009</v>
      </c>
      <c r="L17" s="1388">
        <v>1830</v>
      </c>
      <c r="M17" s="1731">
        <f>1542+179</f>
        <v>1721</v>
      </c>
      <c r="N17" s="1120">
        <f t="shared" si="0"/>
        <v>0.94043715846994536</v>
      </c>
      <c r="O17" s="1798" t="s">
        <v>1171</v>
      </c>
      <c r="P17" s="1800"/>
      <c r="Q17" s="185"/>
    </row>
    <row r="18" spans="1:17" ht="62.25" customHeight="1" x14ac:dyDescent="0.2">
      <c r="A18" s="1057">
        <v>1</v>
      </c>
      <c r="B18" s="1057">
        <v>1.7</v>
      </c>
      <c r="C18" s="1798" t="s">
        <v>745</v>
      </c>
      <c r="D18" s="1799"/>
      <c r="E18" s="1799"/>
      <c r="F18" s="1799"/>
      <c r="G18" s="715" t="s">
        <v>677</v>
      </c>
      <c r="H18" s="1058" t="s">
        <v>679</v>
      </c>
      <c r="I18" s="715" t="s">
        <v>366</v>
      </c>
      <c r="J18" s="1388">
        <v>0</v>
      </c>
      <c r="K18" s="1387">
        <v>2006</v>
      </c>
      <c r="L18" s="1388">
        <v>350</v>
      </c>
      <c r="M18" s="1731">
        <f>163+150+77+39</f>
        <v>429</v>
      </c>
      <c r="N18" s="1120">
        <f t="shared" si="0"/>
        <v>1.2257142857142858</v>
      </c>
      <c r="O18" s="1798" t="s">
        <v>1184</v>
      </c>
      <c r="P18" s="1800"/>
      <c r="Q18" s="185"/>
    </row>
    <row r="19" spans="1:17" ht="110.25" customHeight="1" x14ac:dyDescent="0.2">
      <c r="A19" s="1057">
        <v>1</v>
      </c>
      <c r="B19" s="1057">
        <v>1.8</v>
      </c>
      <c r="C19" s="1798" t="s">
        <v>674</v>
      </c>
      <c r="D19" s="1799"/>
      <c r="E19" s="1799"/>
      <c r="F19" s="1799"/>
      <c r="G19" s="715" t="s">
        <v>677</v>
      </c>
      <c r="H19" s="1058" t="s">
        <v>679</v>
      </c>
      <c r="I19" s="715" t="s">
        <v>681</v>
      </c>
      <c r="J19" s="1388">
        <v>6000</v>
      </c>
      <c r="K19" s="1387">
        <v>2006</v>
      </c>
      <c r="L19" s="1388">
        <v>21250</v>
      </c>
      <c r="M19" s="1731">
        <v>17488</v>
      </c>
      <c r="N19" s="1120">
        <f t="shared" si="0"/>
        <v>0.82296470588235293</v>
      </c>
      <c r="O19" s="1798" t="s">
        <v>1172</v>
      </c>
      <c r="P19" s="1800"/>
      <c r="Q19" s="185"/>
    </row>
    <row r="20" spans="1:17" ht="82.5" customHeight="1" x14ac:dyDescent="0.2">
      <c r="A20" s="1057">
        <v>1</v>
      </c>
      <c r="B20" s="1057">
        <v>1.9</v>
      </c>
      <c r="C20" s="1798" t="s">
        <v>675</v>
      </c>
      <c r="D20" s="1799"/>
      <c r="E20" s="1799"/>
      <c r="F20" s="1799"/>
      <c r="G20" s="715" t="s">
        <v>677</v>
      </c>
      <c r="H20" s="1058" t="s">
        <v>679</v>
      </c>
      <c r="I20" s="715" t="s">
        <v>681</v>
      </c>
      <c r="J20" s="1388">
        <v>500</v>
      </c>
      <c r="K20" s="1387">
        <v>2005</v>
      </c>
      <c r="L20" s="1388">
        <v>8250</v>
      </c>
      <c r="M20" s="1731">
        <v>6654</v>
      </c>
      <c r="N20" s="1120">
        <f t="shared" si="0"/>
        <v>0.80654545454545457</v>
      </c>
      <c r="O20" s="1798" t="s">
        <v>730</v>
      </c>
      <c r="P20" s="1800"/>
      <c r="Q20" s="185"/>
    </row>
    <row r="21" spans="1:17" ht="57" customHeight="1" x14ac:dyDescent="0.2">
      <c r="A21" s="1057">
        <v>2</v>
      </c>
      <c r="B21" s="1057">
        <v>2.2000000000000002</v>
      </c>
      <c r="C21" s="1798" t="s">
        <v>676</v>
      </c>
      <c r="D21" s="1799"/>
      <c r="E21" s="1799"/>
      <c r="F21" s="1799"/>
      <c r="G21" s="715" t="s">
        <v>677</v>
      </c>
      <c r="H21" s="1058" t="s">
        <v>679</v>
      </c>
      <c r="I21" s="715" t="s">
        <v>681</v>
      </c>
      <c r="J21" s="1388">
        <v>1500</v>
      </c>
      <c r="K21" s="1387">
        <v>2005</v>
      </c>
      <c r="L21" s="1388">
        <v>29200</v>
      </c>
      <c r="M21" s="1731">
        <v>42313</v>
      </c>
      <c r="N21" s="1120">
        <f t="shared" si="0"/>
        <v>1.4490753424657534</v>
      </c>
      <c r="O21" s="1798" t="s">
        <v>1173</v>
      </c>
      <c r="P21" s="1800"/>
      <c r="Q21" s="185"/>
    </row>
    <row r="22" spans="1:17" ht="60.75" customHeight="1" x14ac:dyDescent="0.2">
      <c r="A22" s="1057">
        <v>2</v>
      </c>
      <c r="B22" s="1057">
        <v>2.2999999999999998</v>
      </c>
      <c r="C22" s="1798" t="s">
        <v>711</v>
      </c>
      <c r="D22" s="1799"/>
      <c r="E22" s="1799"/>
      <c r="F22" s="1799"/>
      <c r="G22" s="715" t="s">
        <v>677</v>
      </c>
      <c r="H22" s="1058" t="s">
        <v>680</v>
      </c>
      <c r="I22" s="715" t="s">
        <v>681</v>
      </c>
      <c r="J22" s="1389" t="s">
        <v>682</v>
      </c>
      <c r="K22" s="1387">
        <v>2006</v>
      </c>
      <c r="L22" s="1388">
        <v>90</v>
      </c>
      <c r="M22" s="1731">
        <f>70+8</f>
        <v>78</v>
      </c>
      <c r="N22" s="1120">
        <f t="shared" si="0"/>
        <v>0.8666666666666667</v>
      </c>
      <c r="O22" s="1798" t="s">
        <v>1174</v>
      </c>
      <c r="P22" s="1800"/>
      <c r="Q22" s="185"/>
    </row>
    <row r="23" spans="1:17" ht="37.5" customHeight="1" x14ac:dyDescent="0.2">
      <c r="A23" s="1057"/>
      <c r="B23" s="1057"/>
      <c r="C23" s="1833"/>
      <c r="D23" s="1834"/>
      <c r="E23" s="1834"/>
      <c r="F23" s="1835"/>
      <c r="G23" s="715" t="s">
        <v>607</v>
      </c>
      <c r="H23" s="1058" t="s">
        <v>607</v>
      </c>
      <c r="I23" s="715" t="s">
        <v>607</v>
      </c>
      <c r="J23" s="1118"/>
      <c r="K23" s="1141"/>
      <c r="L23" s="1118" t="s">
        <v>473</v>
      </c>
      <c r="M23" s="1732" t="s">
        <v>473</v>
      </c>
      <c r="N23" s="1120"/>
      <c r="O23" s="1798"/>
      <c r="P23" s="1800"/>
      <c r="Q23" s="185"/>
    </row>
    <row r="24" spans="1:17" ht="37.5" customHeight="1" x14ac:dyDescent="0.2">
      <c r="A24" s="1057"/>
      <c r="B24" s="1057"/>
      <c r="C24" s="1833"/>
      <c r="D24" s="1834"/>
      <c r="E24" s="1834"/>
      <c r="F24" s="1835"/>
      <c r="G24" s="715" t="s">
        <v>607</v>
      </c>
      <c r="H24" s="1058" t="s">
        <v>607</v>
      </c>
      <c r="I24" s="715" t="s">
        <v>607</v>
      </c>
      <c r="J24" s="1118"/>
      <c r="K24" s="1141"/>
      <c r="L24" s="1118" t="s">
        <v>473</v>
      </c>
      <c r="M24" s="1732" t="s">
        <v>473</v>
      </c>
      <c r="N24" s="1120"/>
      <c r="O24" s="1798"/>
      <c r="P24" s="1800"/>
      <c r="Q24" s="185"/>
    </row>
    <row r="25" spans="1:17" ht="37.5" customHeight="1" x14ac:dyDescent="0.2">
      <c r="A25" s="715"/>
      <c r="B25" s="1057"/>
      <c r="C25" s="1798"/>
      <c r="D25" s="1799"/>
      <c r="E25" s="1799"/>
      <c r="F25" s="1799"/>
      <c r="G25" s="715" t="s">
        <v>607</v>
      </c>
      <c r="H25" s="1058" t="s">
        <v>607</v>
      </c>
      <c r="I25" s="715" t="s">
        <v>607</v>
      </c>
      <c r="J25" s="1130"/>
      <c r="K25" s="1142"/>
      <c r="L25" s="1119" t="s">
        <v>473</v>
      </c>
      <c r="M25" s="1732" t="s">
        <v>473</v>
      </c>
      <c r="N25" s="1120"/>
      <c r="O25" s="1798"/>
      <c r="P25" s="1800"/>
      <c r="Q25" s="185"/>
    </row>
    <row r="26" spans="1:17" ht="37.5" customHeight="1" x14ac:dyDescent="0.2">
      <c r="A26" s="715"/>
      <c r="B26" s="1057"/>
      <c r="C26" s="1798"/>
      <c r="D26" s="1799"/>
      <c r="E26" s="1799"/>
      <c r="F26" s="1799"/>
      <c r="G26" s="715" t="s">
        <v>607</v>
      </c>
      <c r="H26" s="1058" t="s">
        <v>607</v>
      </c>
      <c r="I26" s="715" t="s">
        <v>607</v>
      </c>
      <c r="J26" s="1130"/>
      <c r="K26" s="1142"/>
      <c r="L26" s="1119" t="s">
        <v>473</v>
      </c>
      <c r="M26" s="1732" t="s">
        <v>473</v>
      </c>
      <c r="N26" s="1120"/>
      <c r="O26" s="1798"/>
      <c r="P26" s="1800"/>
      <c r="Q26" s="185"/>
    </row>
    <row r="27" spans="1:17" ht="37.5" hidden="1" customHeight="1" outlineLevel="1" x14ac:dyDescent="0.2">
      <c r="A27" s="715"/>
      <c r="B27" s="1057"/>
      <c r="C27" s="1798"/>
      <c r="D27" s="1799"/>
      <c r="E27" s="1799"/>
      <c r="F27" s="1799"/>
      <c r="G27" s="715" t="s">
        <v>607</v>
      </c>
      <c r="H27" s="1058" t="s">
        <v>607</v>
      </c>
      <c r="I27" s="715" t="s">
        <v>607</v>
      </c>
      <c r="J27" s="1130"/>
      <c r="K27" s="1142"/>
      <c r="L27" s="1119" t="s">
        <v>473</v>
      </c>
      <c r="M27" s="1732" t="s">
        <v>473</v>
      </c>
      <c r="N27" s="1120"/>
      <c r="O27" s="1798"/>
      <c r="P27" s="1800"/>
      <c r="Q27" s="185"/>
    </row>
    <row r="28" spans="1:17" ht="37.5" hidden="1" customHeight="1" outlineLevel="1" x14ac:dyDescent="0.2">
      <c r="A28" s="715"/>
      <c r="B28" s="1057"/>
      <c r="C28" s="1798"/>
      <c r="D28" s="1799"/>
      <c r="E28" s="1799"/>
      <c r="F28" s="1799"/>
      <c r="G28" s="715" t="s">
        <v>607</v>
      </c>
      <c r="H28" s="1058" t="s">
        <v>607</v>
      </c>
      <c r="I28" s="715" t="s">
        <v>607</v>
      </c>
      <c r="J28" s="1130"/>
      <c r="K28" s="1142"/>
      <c r="L28" s="1119" t="s">
        <v>473</v>
      </c>
      <c r="M28" s="1732" t="s">
        <v>473</v>
      </c>
      <c r="N28" s="1120"/>
      <c r="O28" s="1798"/>
      <c r="P28" s="1800"/>
      <c r="Q28" s="185"/>
    </row>
    <row r="29" spans="1:17" ht="37.5" hidden="1" customHeight="1" outlineLevel="1" x14ac:dyDescent="0.2">
      <c r="A29" s="715"/>
      <c r="B29" s="1057"/>
      <c r="C29" s="1798"/>
      <c r="D29" s="1799"/>
      <c r="E29" s="1799"/>
      <c r="F29" s="1799"/>
      <c r="G29" s="715" t="s">
        <v>607</v>
      </c>
      <c r="H29" s="1058" t="s">
        <v>607</v>
      </c>
      <c r="I29" s="715" t="s">
        <v>607</v>
      </c>
      <c r="J29" s="1130"/>
      <c r="K29" s="1142"/>
      <c r="L29" s="1119" t="s">
        <v>473</v>
      </c>
      <c r="M29" s="1732" t="s">
        <v>473</v>
      </c>
      <c r="N29" s="1120"/>
      <c r="O29" s="1798"/>
      <c r="P29" s="1800"/>
      <c r="Q29" s="185"/>
    </row>
    <row r="30" spans="1:17" ht="37.5" hidden="1" customHeight="1" outlineLevel="1" x14ac:dyDescent="0.2">
      <c r="A30" s="715"/>
      <c r="B30" s="1057"/>
      <c r="C30" s="1798"/>
      <c r="D30" s="1799"/>
      <c r="E30" s="1799"/>
      <c r="F30" s="1799"/>
      <c r="G30" s="715" t="s">
        <v>607</v>
      </c>
      <c r="H30" s="1058" t="s">
        <v>607</v>
      </c>
      <c r="I30" s="715" t="s">
        <v>607</v>
      </c>
      <c r="J30" s="1130"/>
      <c r="K30" s="1142"/>
      <c r="L30" s="1119" t="s">
        <v>473</v>
      </c>
      <c r="M30" s="1732" t="s">
        <v>473</v>
      </c>
      <c r="N30" s="1120"/>
      <c r="O30" s="1798"/>
      <c r="P30" s="1800"/>
      <c r="Q30" s="185"/>
    </row>
    <row r="31" spans="1:17" ht="37.5" hidden="1" customHeight="1" outlineLevel="1" x14ac:dyDescent="0.2">
      <c r="A31" s="715"/>
      <c r="B31" s="1057"/>
      <c r="C31" s="1798"/>
      <c r="D31" s="1799"/>
      <c r="E31" s="1799"/>
      <c r="F31" s="1799"/>
      <c r="G31" s="715" t="s">
        <v>607</v>
      </c>
      <c r="H31" s="1058" t="s">
        <v>607</v>
      </c>
      <c r="I31" s="715" t="s">
        <v>607</v>
      </c>
      <c r="J31" s="1130"/>
      <c r="K31" s="1142"/>
      <c r="L31" s="1119" t="s">
        <v>473</v>
      </c>
      <c r="M31" s="1732" t="s">
        <v>473</v>
      </c>
      <c r="N31" s="1120"/>
      <c r="O31" s="1798"/>
      <c r="P31" s="1800"/>
      <c r="Q31" s="185"/>
    </row>
    <row r="32" spans="1:17" ht="11.25" customHeight="1" collapsed="1" x14ac:dyDescent="0.2">
      <c r="A32" s="1830"/>
      <c r="B32" s="1831"/>
      <c r="C32" s="1831"/>
      <c r="D32" s="1831"/>
      <c r="E32" s="1831"/>
      <c r="F32" s="1831"/>
      <c r="G32" s="1831"/>
      <c r="H32" s="1831"/>
      <c r="I32" s="1831"/>
      <c r="J32" s="1831"/>
      <c r="K32" s="1831"/>
      <c r="L32" s="1831"/>
      <c r="M32" s="1831"/>
      <c r="N32" s="1831"/>
      <c r="O32" s="1831"/>
      <c r="P32" s="1832"/>
      <c r="Q32" s="185"/>
    </row>
    <row r="33" spans="1:17" ht="37.5" hidden="1" customHeight="1" outlineLevel="1" x14ac:dyDescent="0.2">
      <c r="A33" s="715"/>
      <c r="B33" s="1057"/>
      <c r="C33" s="1798"/>
      <c r="D33" s="1799"/>
      <c r="E33" s="1799"/>
      <c r="F33" s="1799"/>
      <c r="G33" s="715" t="s">
        <v>607</v>
      </c>
      <c r="H33" s="1058" t="s">
        <v>607</v>
      </c>
      <c r="I33" s="715" t="s">
        <v>607</v>
      </c>
      <c r="J33" s="1130"/>
      <c r="K33" s="1142"/>
      <c r="L33" s="1119" t="s">
        <v>473</v>
      </c>
      <c r="M33" s="1732" t="s">
        <v>473</v>
      </c>
      <c r="N33" s="1120"/>
      <c r="O33" s="1798"/>
      <c r="P33" s="1800"/>
      <c r="Q33" s="185"/>
    </row>
    <row r="34" spans="1:17" ht="37.5" hidden="1" customHeight="1" outlineLevel="1" x14ac:dyDescent="0.2">
      <c r="A34" s="1077"/>
      <c r="B34" s="1070"/>
      <c r="C34" s="1070"/>
      <c r="D34" s="1071"/>
      <c r="E34" s="1071"/>
      <c r="F34" s="1071"/>
      <c r="G34" s="715" t="s">
        <v>607</v>
      </c>
      <c r="H34" s="1058" t="s">
        <v>607</v>
      </c>
      <c r="I34" s="715" t="s">
        <v>607</v>
      </c>
      <c r="J34" s="1130"/>
      <c r="K34" s="1142"/>
      <c r="L34" s="1119" t="s">
        <v>473</v>
      </c>
      <c r="M34" s="1732" t="s">
        <v>473</v>
      </c>
      <c r="N34" s="1121"/>
      <c r="O34" s="1070"/>
      <c r="P34" s="1078"/>
      <c r="Q34" s="185"/>
    </row>
    <row r="35" spans="1:17" ht="37.5" hidden="1" customHeight="1" outlineLevel="1" x14ac:dyDescent="0.2">
      <c r="A35" s="1077"/>
      <c r="B35" s="1070"/>
      <c r="C35" s="1070"/>
      <c r="D35" s="1071"/>
      <c r="E35" s="1071"/>
      <c r="F35" s="1071"/>
      <c r="G35" s="715" t="s">
        <v>607</v>
      </c>
      <c r="H35" s="1058" t="s">
        <v>607</v>
      </c>
      <c r="I35" s="715" t="s">
        <v>607</v>
      </c>
      <c r="J35" s="1130"/>
      <c r="K35" s="1142"/>
      <c r="L35" s="1119" t="s">
        <v>473</v>
      </c>
      <c r="M35" s="1732" t="s">
        <v>473</v>
      </c>
      <c r="N35" s="1121"/>
      <c r="O35" s="1070"/>
      <c r="P35" s="1078"/>
      <c r="Q35" s="185"/>
    </row>
    <row r="36" spans="1:17" ht="37.5" hidden="1" customHeight="1" outlineLevel="1" x14ac:dyDescent="0.2">
      <c r="A36" s="1077"/>
      <c r="B36" s="1070"/>
      <c r="C36" s="1070"/>
      <c r="D36" s="1071"/>
      <c r="E36" s="1071"/>
      <c r="F36" s="1071"/>
      <c r="G36" s="715" t="s">
        <v>607</v>
      </c>
      <c r="H36" s="1058" t="s">
        <v>607</v>
      </c>
      <c r="I36" s="715" t="s">
        <v>607</v>
      </c>
      <c r="J36" s="1130"/>
      <c r="K36" s="1142"/>
      <c r="L36" s="1119" t="s">
        <v>473</v>
      </c>
      <c r="M36" s="1732" t="s">
        <v>473</v>
      </c>
      <c r="N36" s="1121"/>
      <c r="O36" s="1070"/>
      <c r="P36" s="1078"/>
      <c r="Q36" s="185"/>
    </row>
    <row r="37" spans="1:17" ht="37.5" hidden="1" customHeight="1" outlineLevel="1" x14ac:dyDescent="0.2">
      <c r="A37" s="715"/>
      <c r="B37" s="1057"/>
      <c r="C37" s="1057"/>
      <c r="D37" s="1132"/>
      <c r="E37" s="1132"/>
      <c r="F37" s="1132"/>
      <c r="G37" s="715" t="s">
        <v>607</v>
      </c>
      <c r="H37" s="1058" t="s">
        <v>607</v>
      </c>
      <c r="I37" s="715" t="s">
        <v>607</v>
      </c>
      <c r="J37" s="1130"/>
      <c r="K37" s="1142"/>
      <c r="L37" s="1119" t="s">
        <v>473</v>
      </c>
      <c r="M37" s="1732" t="s">
        <v>473</v>
      </c>
      <c r="N37" s="1120"/>
      <c r="O37" s="1057"/>
      <c r="P37" s="1131"/>
      <c r="Q37" s="185"/>
    </row>
    <row r="38" spans="1:17" ht="12.75" customHeight="1" collapsed="1" x14ac:dyDescent="0.2">
      <c r="A38" s="528"/>
      <c r="B38" s="528"/>
      <c r="C38" s="529"/>
      <c r="D38" s="1827"/>
      <c r="E38" s="1827"/>
      <c r="F38" s="1827"/>
      <c r="G38" s="1827"/>
      <c r="H38" s="530"/>
      <c r="I38" s="530"/>
      <c r="J38" s="531"/>
      <c r="K38" s="528"/>
      <c r="L38" s="531"/>
      <c r="M38" s="1733"/>
      <c r="N38" s="531"/>
      <c r="O38" s="531"/>
      <c r="P38" s="532"/>
      <c r="Q38" s="532"/>
    </row>
    <row r="39" spans="1:17" ht="15.75" x14ac:dyDescent="0.2">
      <c r="A39" s="1251" t="s">
        <v>335</v>
      </c>
      <c r="B39" s="533"/>
      <c r="C39" s="13"/>
      <c r="D39" s="13"/>
      <c r="E39" s="13"/>
      <c r="F39" s="13"/>
      <c r="G39" s="13"/>
      <c r="H39" s="13"/>
      <c r="I39" s="13"/>
      <c r="J39" s="13"/>
      <c r="K39" s="13"/>
      <c r="L39" s="13"/>
      <c r="N39" s="13"/>
      <c r="O39" s="13"/>
      <c r="P39" s="13"/>
      <c r="Q39" s="13"/>
    </row>
    <row r="40" spans="1:17" ht="32.25" customHeight="1" x14ac:dyDescent="0.2">
      <c r="A40" s="1828" t="s">
        <v>577</v>
      </c>
      <c r="B40" s="1829"/>
      <c r="C40" s="1829"/>
      <c r="D40" s="1829"/>
      <c r="E40" s="1829"/>
      <c r="F40" s="1829"/>
      <c r="G40" s="1829"/>
      <c r="H40" s="1829"/>
      <c r="I40" s="1829"/>
      <c r="J40" s="1829"/>
      <c r="K40" s="1829"/>
      <c r="L40" s="1829"/>
      <c r="M40" s="1829"/>
      <c r="N40" s="1829"/>
      <c r="O40" s="1829"/>
      <c r="P40" s="1829"/>
      <c r="Q40" s="13"/>
    </row>
    <row r="41" spans="1:17" ht="24.75" customHeight="1" thickBot="1" x14ac:dyDescent="0.25">
      <c r="A41" s="1829"/>
      <c r="B41" s="1829"/>
      <c r="C41" s="1829"/>
      <c r="D41" s="1829"/>
      <c r="E41" s="1829"/>
      <c r="F41" s="1829"/>
      <c r="G41" s="1829"/>
      <c r="H41" s="1829"/>
      <c r="I41" s="1829"/>
      <c r="J41" s="1829"/>
      <c r="K41" s="1829"/>
      <c r="L41" s="1829"/>
      <c r="M41" s="1829"/>
      <c r="N41" s="1829"/>
      <c r="O41" s="1829"/>
      <c r="P41" s="1829"/>
      <c r="Q41" s="13"/>
    </row>
    <row r="42" spans="1:17" ht="97.5" customHeight="1" thickBot="1" x14ac:dyDescent="0.25">
      <c r="A42" s="1824"/>
      <c r="B42" s="1825"/>
      <c r="C42" s="1825"/>
      <c r="D42" s="1825"/>
      <c r="E42" s="1825"/>
      <c r="F42" s="1825"/>
      <c r="G42" s="1825"/>
      <c r="H42" s="1825"/>
      <c r="I42" s="1825"/>
      <c r="J42" s="1825"/>
      <c r="K42" s="1825"/>
      <c r="L42" s="1825"/>
      <c r="M42" s="1825"/>
      <c r="N42" s="1825"/>
      <c r="O42" s="1825"/>
      <c r="P42" s="1826"/>
      <c r="Q42" s="13"/>
    </row>
    <row r="43" spans="1:17" ht="7.5" customHeight="1" x14ac:dyDescent="0.2">
      <c r="A43" s="13" t="s">
        <v>714</v>
      </c>
      <c r="B43" s="13"/>
      <c r="C43" s="13"/>
      <c r="D43" s="13"/>
      <c r="E43" s="37"/>
      <c r="F43" s="13"/>
      <c r="G43" s="13"/>
      <c r="H43" s="13"/>
      <c r="I43" s="13"/>
      <c r="J43" s="13"/>
      <c r="K43" s="13"/>
      <c r="L43" s="13"/>
      <c r="N43" s="13"/>
      <c r="O43" s="13"/>
      <c r="P43" s="13"/>
      <c r="Q43" s="13"/>
    </row>
    <row r="44" spans="1:17" x14ac:dyDescent="0.2">
      <c r="A44" s="13"/>
      <c r="B44" s="13"/>
      <c r="C44" s="13"/>
      <c r="D44" s="13"/>
      <c r="E44" s="37"/>
      <c r="F44" s="13"/>
      <c r="G44" s="13"/>
      <c r="H44" s="13"/>
      <c r="I44" s="13"/>
      <c r="J44" s="13"/>
      <c r="K44" s="13"/>
      <c r="L44" s="13"/>
      <c r="N44" s="13"/>
      <c r="O44" s="13"/>
      <c r="P44" s="13"/>
      <c r="Q44" s="13"/>
    </row>
    <row r="45" spans="1:17" x14ac:dyDescent="0.2">
      <c r="A45" s="13"/>
      <c r="B45" s="13"/>
      <c r="C45" s="13"/>
      <c r="D45" s="13"/>
      <c r="E45" s="37"/>
      <c r="F45" s="13"/>
      <c r="G45" s="13"/>
      <c r="H45" s="13"/>
      <c r="I45" s="13"/>
      <c r="J45" s="13"/>
      <c r="K45" s="13"/>
      <c r="L45" s="13"/>
      <c r="N45" s="13"/>
      <c r="O45" s="13"/>
      <c r="P45" s="13"/>
      <c r="Q45" s="13"/>
    </row>
  </sheetData>
  <sheetProtection formatCells="0" formatColumns="0" formatRows="0"/>
  <dataConsolidate/>
  <customSheetViews>
    <customSheetView guid="{E26F941C-F347-432D-B4B3-73B25F002075}" scale="55" showPageBreaks="1" showGridLines="0" fitToPage="1" printArea="1">
      <selection activeCell="T31" sqref="T31"/>
      <pageMargins left="0.52" right="0.43" top="0.43" bottom="0.46" header="0.4" footer="0.28000000000000003"/>
      <printOptions horizontalCentered="1"/>
      <pageSetup paperSize="9" scale="41" orientation="landscape" cellComments="asDisplayed" r:id="rId1"/>
      <headerFooter alignWithMargins="0">
        <oddFooter>&amp;L&amp;9SD 3.1A - Form, Ongoing DR/PU and LFA Review and Recommendation_v2.1 February 2006&amp;R&amp;9Page &amp;P of &amp;N</oddFooter>
      </headerFooter>
    </customSheetView>
  </customSheetViews>
  <mergeCells count="62">
    <mergeCell ref="C30:F30"/>
    <mergeCell ref="C31:F31"/>
    <mergeCell ref="O27:P27"/>
    <mergeCell ref="O26:P26"/>
    <mergeCell ref="O21:P21"/>
    <mergeCell ref="C26:F26"/>
    <mergeCell ref="C25:F25"/>
    <mergeCell ref="C21:F21"/>
    <mergeCell ref="O25:P25"/>
    <mergeCell ref="O22:P22"/>
    <mergeCell ref="O23:P23"/>
    <mergeCell ref="C23:F23"/>
    <mergeCell ref="C27:F27"/>
    <mergeCell ref="O30:P30"/>
    <mergeCell ref="C20:F20"/>
    <mergeCell ref="O20:P20"/>
    <mergeCell ref="A42:P42"/>
    <mergeCell ref="D38:G38"/>
    <mergeCell ref="A40:P41"/>
    <mergeCell ref="C33:F33"/>
    <mergeCell ref="O33:P33"/>
    <mergeCell ref="A32:P32"/>
    <mergeCell ref="O31:P31"/>
    <mergeCell ref="C29:F29"/>
    <mergeCell ref="O29:P29"/>
    <mergeCell ref="O28:P28"/>
    <mergeCell ref="C28:F28"/>
    <mergeCell ref="C22:F22"/>
    <mergeCell ref="C24:F24"/>
    <mergeCell ref="O24:P24"/>
    <mergeCell ref="A1:G1"/>
    <mergeCell ref="A3:C3"/>
    <mergeCell ref="B10:B11"/>
    <mergeCell ref="D3:G3"/>
    <mergeCell ref="A9:P9"/>
    <mergeCell ref="A10:A11"/>
    <mergeCell ref="I10:I11"/>
    <mergeCell ref="L10:L11"/>
    <mergeCell ref="J10:K10"/>
    <mergeCell ref="G10:G11"/>
    <mergeCell ref="D6:G6"/>
    <mergeCell ref="C10:F11"/>
    <mergeCell ref="H10:H11"/>
    <mergeCell ref="M10:M11"/>
    <mergeCell ref="N10:N11"/>
    <mergeCell ref="O10:P11"/>
    <mergeCell ref="C12:F12"/>
    <mergeCell ref="C13:F13"/>
    <mergeCell ref="C19:F19"/>
    <mergeCell ref="O18:P18"/>
    <mergeCell ref="C14:F14"/>
    <mergeCell ref="C15:F15"/>
    <mergeCell ref="C16:F16"/>
    <mergeCell ref="C17:F17"/>
    <mergeCell ref="C18:F18"/>
    <mergeCell ref="O16:P16"/>
    <mergeCell ref="O12:P12"/>
    <mergeCell ref="O13:P13"/>
    <mergeCell ref="O19:P19"/>
    <mergeCell ref="O14:P14"/>
    <mergeCell ref="O15:P15"/>
    <mergeCell ref="O17:P17"/>
  </mergeCells>
  <phoneticPr fontId="0" type="noConversion"/>
  <dataValidations xWindow="411" yWindow="224" count="4">
    <dataValidation type="list" allowBlank="1" showInputMessage="1" showErrorMessage="1" sqref="D2:I2">
      <formula1>"Select,USD,EUR"</formula1>
    </dataValidation>
    <dataValidation type="list" allowBlank="1" showInputMessage="1" showErrorMessage="1" sqref="H12:H31 H33:H37">
      <formula1>"Select, Y-over program term, Y-cumulative annually, N-not cumulative, Y-over RCC term"</formula1>
    </dataValidation>
    <dataValidation type="list" allowBlank="1" showInputMessage="1" showErrorMessage="1" sqref="I12:I31 I33:I37">
      <formula1>"Select, Yes - Top 10, Top 10 equivalent, No"</formula1>
    </dataValidation>
    <dataValidation type="list" allowBlank="1" showInputMessage="1" showErrorMessage="1" sqref="G12:G31 G33:G37">
      <formula1>"Select, National Program, Current grant, GF, GF and other donors"</formula1>
    </dataValidation>
  </dataValidations>
  <printOptions horizontalCentered="1"/>
  <pageMargins left="0.55118110236220474" right="0.55118110236220474" top="0.39370078740157483" bottom="0.59055118110236227" header="0.51181102362204722" footer="0.51181102362204722"/>
  <pageSetup paperSize="9" scale="47" fitToHeight="0" orientation="landscape" cellComments="asDisplayed" r:id="rId2"/>
  <headerFooter alignWithMargins="0">
    <oddFooter>&amp;L&amp;9&amp;F&amp;C&amp;A&amp;R&amp;9Page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B1:AJ27"/>
  <sheetViews>
    <sheetView view="pageBreakPreview" topLeftCell="A13" zoomScale="65" zoomScaleNormal="70" zoomScaleSheetLayoutView="65" zoomScalePageLayoutView="70" workbookViewId="0">
      <selection activeCell="P16" sqref="P16"/>
    </sheetView>
  </sheetViews>
  <sheetFormatPr defaultRowHeight="12.75" x14ac:dyDescent="0.2"/>
  <cols>
    <col min="1" max="1" width="2" style="72" customWidth="1"/>
    <col min="2" max="2" width="20.42578125" style="72" customWidth="1"/>
    <col min="3" max="3" width="17.5703125" style="72" hidden="1" customWidth="1"/>
    <col min="4" max="4" width="19" style="72" customWidth="1"/>
    <col min="5" max="5" width="2.28515625" style="72" customWidth="1"/>
    <col min="6" max="6" width="15.85546875" style="72" customWidth="1"/>
    <col min="7" max="7" width="20.5703125" style="72" customWidth="1"/>
    <col min="8" max="8" width="2.42578125" style="72" customWidth="1"/>
    <col min="9" max="9" width="17.85546875" style="72" customWidth="1"/>
    <col min="10" max="10" width="15" style="72" customWidth="1"/>
    <col min="11" max="11" width="2.5703125" style="72" customWidth="1"/>
    <col min="12" max="12" width="18.28515625" style="72" customWidth="1"/>
    <col min="13" max="13" width="19.42578125" style="72" customWidth="1"/>
    <col min="14" max="14" width="20.42578125" style="453" customWidth="1"/>
    <col min="15" max="15" width="26.28515625" style="72" hidden="1" customWidth="1"/>
    <col min="16" max="16" width="46.28515625" style="72" customWidth="1"/>
    <col min="17" max="17" width="38.5703125" style="72" customWidth="1"/>
    <col min="18" max="18" width="7.5703125" style="72" customWidth="1"/>
    <col min="19" max="19" width="9.140625" style="72"/>
    <col min="20" max="32" width="9.140625" style="72" hidden="1" customWidth="1"/>
    <col min="33" max="33" width="14.140625" style="72" hidden="1" customWidth="1"/>
    <col min="34" max="36" width="9.140625" style="72" hidden="1" customWidth="1"/>
    <col min="37" max="16384" width="9.140625" style="72"/>
  </cols>
  <sheetData>
    <row r="1" spans="2:35" ht="25.5" customHeight="1" x14ac:dyDescent="0.35">
      <c r="B1" s="2161" t="s">
        <v>629</v>
      </c>
      <c r="C1" s="2161"/>
      <c r="D1" s="2161"/>
      <c r="E1" s="2161"/>
      <c r="F1" s="2161"/>
      <c r="G1" s="2161"/>
      <c r="H1" s="2161"/>
      <c r="I1" s="2161"/>
      <c r="J1" s="2161"/>
      <c r="K1" s="2161"/>
      <c r="L1" s="2161"/>
      <c r="M1" s="2161"/>
      <c r="N1" s="2161"/>
      <c r="O1" s="2161"/>
      <c r="P1" s="2161"/>
      <c r="Q1" s="2161"/>
      <c r="R1" s="387"/>
    </row>
    <row r="2" spans="2:35" ht="6" customHeight="1" thickBot="1" x14ac:dyDescent="0.35">
      <c r="B2" s="69"/>
      <c r="C2" s="69"/>
      <c r="D2" s="69"/>
      <c r="E2" s="69"/>
      <c r="F2" s="69"/>
      <c r="G2" s="69"/>
      <c r="H2" s="69"/>
      <c r="I2" s="78"/>
      <c r="J2" s="83"/>
      <c r="K2" s="69"/>
      <c r="L2" s="69"/>
      <c r="M2" s="69"/>
      <c r="N2" s="69"/>
    </row>
    <row r="3" spans="2:35" s="755" customFormat="1" ht="45.75" customHeight="1" thickBot="1" x14ac:dyDescent="0.3">
      <c r="B3" s="2730" t="s">
        <v>640</v>
      </c>
      <c r="C3" s="2731"/>
      <c r="D3" s="2731"/>
      <c r="E3" s="2731"/>
      <c r="F3" s="2731"/>
      <c r="G3" s="2731"/>
      <c r="H3" s="2731"/>
      <c r="I3" s="2731"/>
      <c r="J3" s="2731"/>
      <c r="K3" s="2731"/>
      <c r="L3" s="2731"/>
      <c r="M3" s="2731"/>
      <c r="N3" s="2731"/>
      <c r="O3" s="2731"/>
      <c r="P3" s="2731"/>
      <c r="Q3" s="2732"/>
      <c r="R3" s="1112"/>
    </row>
    <row r="4" spans="2:35" ht="13.5" thickBot="1" x14ac:dyDescent="0.25"/>
    <row r="5" spans="2:35" ht="15.75" thickBot="1" x14ac:dyDescent="0.25">
      <c r="B5" s="493" t="s">
        <v>419</v>
      </c>
      <c r="C5" s="496"/>
      <c r="D5" s="496"/>
      <c r="E5" s="496"/>
      <c r="F5" s="496"/>
      <c r="G5" s="652" t="str">
        <f>'LFA_Programmatic Progress_1A'!C7</f>
        <v>BTN-607-G03-H</v>
      </c>
      <c r="H5" s="489"/>
      <c r="I5" s="489"/>
      <c r="J5" s="489"/>
      <c r="K5" s="487"/>
      <c r="L5" s="488"/>
      <c r="N5" s="670"/>
      <c r="O5" s="653"/>
    </row>
    <row r="6" spans="2:35" ht="15" x14ac:dyDescent="0.2">
      <c r="B6" s="492" t="s">
        <v>621</v>
      </c>
      <c r="C6" s="512"/>
      <c r="D6" s="512"/>
      <c r="E6" s="512"/>
      <c r="F6" s="512"/>
      <c r="G6" s="53" t="s">
        <v>627</v>
      </c>
      <c r="H6" s="2162" t="str">
        <f>'PR_Programmatic Progress_1A'!D12</f>
        <v>Quarter</v>
      </c>
      <c r="I6" s="2163"/>
      <c r="J6" s="5" t="s">
        <v>628</v>
      </c>
      <c r="K6" s="508"/>
      <c r="L6" s="385">
        <f>'PR_Programmatic Progress_1A'!F12</f>
        <v>17</v>
      </c>
      <c r="O6" s="653"/>
    </row>
    <row r="7" spans="2:35" ht="15" x14ac:dyDescent="0.2">
      <c r="B7" s="513" t="s">
        <v>622</v>
      </c>
      <c r="C7" s="40"/>
      <c r="D7" s="40"/>
      <c r="E7" s="40"/>
      <c r="F7" s="40"/>
      <c r="G7" s="54" t="s">
        <v>590</v>
      </c>
      <c r="H7" s="2164">
        <f>'PR_Programmatic Progress_1A'!D13</f>
        <v>40940</v>
      </c>
      <c r="I7" s="2165"/>
      <c r="J7" s="5" t="s">
        <v>608</v>
      </c>
      <c r="K7" s="508"/>
      <c r="L7" s="386">
        <f>'PR_Programmatic Progress_1A'!F13</f>
        <v>41029</v>
      </c>
      <c r="O7" s="653"/>
    </row>
    <row r="8" spans="2:35" ht="15.75" thickBot="1" x14ac:dyDescent="0.25">
      <c r="B8" s="55" t="s">
        <v>623</v>
      </c>
      <c r="C8" s="167"/>
      <c r="D8" s="167"/>
      <c r="E8" s="167"/>
      <c r="F8" s="41"/>
      <c r="G8" s="2158">
        <f>'LFA_Programmatic Progress_1A'!C14</f>
        <v>17</v>
      </c>
      <c r="H8" s="2159"/>
      <c r="I8" s="2159"/>
      <c r="J8" s="2159"/>
      <c r="K8" s="2159"/>
      <c r="L8" s="2160"/>
      <c r="O8" s="490"/>
    </row>
    <row r="9" spans="2:35" ht="15.75" thickBot="1" x14ac:dyDescent="0.25">
      <c r="B9" s="2194" t="s">
        <v>589</v>
      </c>
      <c r="C9" s="2446"/>
      <c r="D9" s="2446"/>
      <c r="E9" s="2446"/>
      <c r="F9" s="2733"/>
      <c r="G9" s="2155" t="str">
        <f>IF('LFA_Programmatic Progress_1A'!C10="","",'LFA_Programmatic Progress_1A'!C10)</f>
        <v>USD</v>
      </c>
      <c r="H9" s="2156"/>
      <c r="I9" s="2156"/>
      <c r="J9" s="2156"/>
      <c r="K9" s="2156"/>
      <c r="L9" s="2157"/>
      <c r="N9" s="566"/>
    </row>
    <row r="10" spans="2:35" x14ac:dyDescent="0.2">
      <c r="N10" s="566"/>
    </row>
    <row r="11" spans="2:35" ht="15.75" customHeight="1" x14ac:dyDescent="0.25">
      <c r="B11" s="2728" t="s">
        <v>248</v>
      </c>
      <c r="C11" s="2729"/>
      <c r="D11" s="2729"/>
      <c r="E11" s="2729"/>
      <c r="F11" s="2729"/>
      <c r="G11" s="2729"/>
      <c r="H11" s="2729"/>
      <c r="I11" s="2729"/>
      <c r="J11" s="2729"/>
      <c r="K11" s="2729"/>
      <c r="L11" s="2729"/>
      <c r="M11" s="2729"/>
      <c r="N11" s="2729"/>
      <c r="O11" s="2729"/>
      <c r="P11" s="2729"/>
      <c r="Q11" s="2729"/>
      <c r="R11" s="522"/>
    </row>
    <row r="12" spans="2:35" ht="12" customHeight="1" x14ac:dyDescent="0.25">
      <c r="B12" s="1243"/>
      <c r="C12" s="1244"/>
      <c r="D12" s="1244"/>
      <c r="E12" s="1244"/>
      <c r="F12" s="1244"/>
      <c r="G12" s="1244"/>
      <c r="H12" s="1244"/>
      <c r="I12" s="1244"/>
      <c r="J12" s="1244"/>
      <c r="K12" s="1244"/>
      <c r="L12" s="1244"/>
      <c r="M12" s="1244"/>
      <c r="N12" s="1244"/>
      <c r="O12" s="1244"/>
      <c r="P12" s="1244"/>
      <c r="Q12" s="1244"/>
      <c r="R12" s="1244"/>
    </row>
    <row r="13" spans="2:35" ht="15.75" x14ac:dyDescent="0.25">
      <c r="B13" s="668"/>
      <c r="C13" s="90"/>
      <c r="D13" s="90"/>
      <c r="E13" s="70"/>
      <c r="F13" s="90"/>
      <c r="G13" s="90"/>
      <c r="H13" s="70"/>
      <c r="I13" s="90"/>
      <c r="J13" s="90"/>
      <c r="K13" s="70"/>
      <c r="L13" s="90"/>
      <c r="M13" s="90"/>
      <c r="N13" s="669"/>
      <c r="O13" s="90"/>
      <c r="P13" s="90"/>
      <c r="Q13" s="90"/>
    </row>
    <row r="14" spans="2:35" s="572" customFormat="1" ht="120" customHeight="1" x14ac:dyDescent="0.2">
      <c r="B14" s="567" t="s">
        <v>378</v>
      </c>
      <c r="C14" s="568" t="s">
        <v>379</v>
      </c>
      <c r="D14" s="569" t="s">
        <v>380</v>
      </c>
      <c r="E14" s="876"/>
      <c r="F14" s="570" t="s">
        <v>130</v>
      </c>
      <c r="G14" s="569" t="s">
        <v>381</v>
      </c>
      <c r="H14" s="876"/>
      <c r="I14" s="570" t="s">
        <v>171</v>
      </c>
      <c r="J14" s="569" t="s">
        <v>382</v>
      </c>
      <c r="K14" s="876"/>
      <c r="L14" s="570" t="s">
        <v>641</v>
      </c>
      <c r="M14" s="569" t="s">
        <v>344</v>
      </c>
      <c r="N14" s="569" t="s">
        <v>348</v>
      </c>
      <c r="O14" s="571" t="s">
        <v>385</v>
      </c>
      <c r="P14" s="569" t="s">
        <v>329</v>
      </c>
      <c r="Q14" s="569" t="s">
        <v>322</v>
      </c>
      <c r="U14" s="567" t="s">
        <v>378</v>
      </c>
      <c r="V14" s="568" t="s">
        <v>379</v>
      </c>
      <c r="W14" s="569" t="s">
        <v>380</v>
      </c>
      <c r="X14" s="876"/>
      <c r="Y14" s="570" t="s">
        <v>130</v>
      </c>
      <c r="Z14" s="569" t="s">
        <v>381</v>
      </c>
      <c r="AA14" s="876"/>
      <c r="AB14" s="570" t="s">
        <v>171</v>
      </c>
      <c r="AC14" s="569" t="s">
        <v>382</v>
      </c>
      <c r="AD14" s="876"/>
      <c r="AE14" s="570" t="s">
        <v>383</v>
      </c>
      <c r="AF14" s="569" t="s">
        <v>384</v>
      </c>
      <c r="AG14" s="569" t="s">
        <v>348</v>
      </c>
      <c r="AH14" s="571" t="s">
        <v>385</v>
      </c>
      <c r="AI14" s="570" t="s">
        <v>415</v>
      </c>
    </row>
    <row r="15" spans="2:35" ht="49.5" customHeight="1" x14ac:dyDescent="0.2">
      <c r="B15" s="1723" t="str">
        <f>U15</f>
        <v>Department of Youth &amp; Sports, MoE</v>
      </c>
      <c r="C15" s="878">
        <f t="shared" ref="C15:D21" si="0">V15</f>
        <v>0</v>
      </c>
      <c r="D15" s="878" t="str">
        <f t="shared" si="0"/>
        <v/>
      </c>
      <c r="E15" s="877"/>
      <c r="F15" s="878">
        <f>Y15</f>
        <v>0</v>
      </c>
      <c r="G15" s="878" t="str">
        <f>Z15</f>
        <v/>
      </c>
      <c r="H15" s="877"/>
      <c r="I15" s="878" t="str">
        <f>AB15</f>
        <v/>
      </c>
      <c r="J15" s="878">
        <f>AC15</f>
        <v>0</v>
      </c>
      <c r="K15" s="877"/>
      <c r="L15" s="878" t="str">
        <f>AE15</f>
        <v/>
      </c>
      <c r="M15" s="878"/>
      <c r="N15" s="1727">
        <f>IF(I15="",IF(L15="",0,SUM(I15-L15)),SUM(I15-L15))</f>
        <v>0</v>
      </c>
      <c r="O15" s="883">
        <v>0</v>
      </c>
      <c r="P15" s="878" t="str">
        <f>AI15</f>
        <v/>
      </c>
      <c r="Q15" s="1588" t="s">
        <v>1071</v>
      </c>
      <c r="U15" s="878" t="str">
        <f>IF('PR_Annex_SR-Financials'!B15="","",'PR_Annex_SR-Financials'!B15)</f>
        <v>Department of Youth &amp; Sports, MoE</v>
      </c>
      <c r="V15" s="878">
        <f>IF('PR_Annex_SR-Financials'!C15="","",'PR_Annex_SR-Financials'!C15)</f>
        <v>0</v>
      </c>
      <c r="W15" s="878" t="str">
        <f>IF('PR_Annex_SR-Financials'!D15="","",'PR_Annex_SR-Financials'!D15)</f>
        <v/>
      </c>
      <c r="X15" s="877"/>
      <c r="Y15" s="878">
        <f>IF('PR_Annex_SR-Financials'!F15="","",'PR_Annex_SR-Financials'!F15)</f>
        <v>0</v>
      </c>
      <c r="Z15" s="878" t="str">
        <f>IF('PR_Annex_SR-Financials'!G15="","",'PR_Annex_SR-Financials'!G15)</f>
        <v/>
      </c>
      <c r="AA15" s="877"/>
      <c r="AB15" s="878" t="str">
        <f>IF('PR_Annex_SR-Financials'!I15="","",'PR_Annex_SR-Financials'!I15)</f>
        <v/>
      </c>
      <c r="AC15" s="878">
        <f>IF('PR_Annex_SR-Financials'!J15="","",'PR_Annex_SR-Financials'!J15)</f>
        <v>0</v>
      </c>
      <c r="AD15" s="877"/>
      <c r="AE15" s="878" t="str">
        <f>IF('PR_Annex_SR-Financials'!L15="","",'PR_Annex_SR-Financials'!L15)</f>
        <v/>
      </c>
      <c r="AF15" s="878" t="str">
        <f>IF('PR_Annex_SR-Financials'!M15="","",'PR_Annex_SR-Financials'!M15)</f>
        <v/>
      </c>
      <c r="AG15" s="878">
        <f>IF(AB15="",IF(AE15="",0,SUM(AB15-AE15)),SUM(AB15-AE15))</f>
        <v>0</v>
      </c>
      <c r="AH15" s="878"/>
      <c r="AI15" s="880" t="str">
        <f>IF('PR_Annex_SR-Financials'!P15="","",'PR_Annex_SR-Financials'!P15)</f>
        <v/>
      </c>
    </row>
    <row r="16" spans="2:35" ht="49.5" customHeight="1" x14ac:dyDescent="0.2">
      <c r="B16" s="1723" t="str">
        <f t="shared" ref="B16:B21" si="1">U16</f>
        <v>Department of Adult &amp; Higher Learning, MoE</v>
      </c>
      <c r="C16" s="883">
        <f>IF('PR_Annex_SR-Financials'!C16="","",'PR_Annex_SR-Financials'!C16)</f>
        <v>0</v>
      </c>
      <c r="D16" s="878" t="str">
        <f t="shared" si="0"/>
        <v/>
      </c>
      <c r="E16" s="877"/>
      <c r="F16" s="878">
        <f t="shared" ref="F16:F21" si="2">Y16</f>
        <v>0</v>
      </c>
      <c r="G16" s="878">
        <f t="shared" ref="G16:G21" si="3">Z16</f>
        <v>0</v>
      </c>
      <c r="H16" s="877"/>
      <c r="I16" s="878" t="str">
        <f t="shared" ref="I16:I21" si="4">AB16</f>
        <v/>
      </c>
      <c r="J16" s="878">
        <f t="shared" ref="J16:J21" si="5">AC16</f>
        <v>0</v>
      </c>
      <c r="K16" s="877"/>
      <c r="L16" s="878" t="str">
        <f t="shared" ref="L16:L21" si="6">AE16</f>
        <v/>
      </c>
      <c r="M16" s="878"/>
      <c r="N16" s="1727">
        <f t="shared" ref="N16:N21" si="7">IF(I16="",IF(L16="",0,SUM(I16-L16)),SUM(I16-L16))</f>
        <v>0</v>
      </c>
      <c r="O16" s="883">
        <v>0</v>
      </c>
      <c r="P16" s="878" t="str">
        <f t="shared" ref="P16:P21" si="8">AI16</f>
        <v/>
      </c>
      <c r="Q16" s="1588" t="s">
        <v>1071</v>
      </c>
      <c r="U16" s="878" t="str">
        <f>IF('PR_Annex_SR-Financials'!B16="","",'PR_Annex_SR-Financials'!B16)</f>
        <v>Department of Adult &amp; Higher Learning, MoE</v>
      </c>
      <c r="V16" s="878">
        <f>IF('PR_Annex_SR-Financials'!C16="","",'PR_Annex_SR-Financials'!C16)</f>
        <v>0</v>
      </c>
      <c r="W16" s="878" t="str">
        <f>IF('PR_Annex_SR-Financials'!D16="","",'PR_Annex_SR-Financials'!D16)</f>
        <v/>
      </c>
      <c r="X16" s="877"/>
      <c r="Y16" s="878">
        <f>IF('PR_Annex_SR-Financials'!F16="","",'PR_Annex_SR-Financials'!F16)</f>
        <v>0</v>
      </c>
      <c r="Z16" s="878">
        <f>IF('PR_Annex_SR-Financials'!G16="","",'PR_Annex_SR-Financials'!G16)</f>
        <v>0</v>
      </c>
      <c r="AA16" s="877"/>
      <c r="AB16" s="878" t="str">
        <f>IF('PR_Annex_SR-Financials'!I16="","",'PR_Annex_SR-Financials'!I16)</f>
        <v/>
      </c>
      <c r="AC16" s="878">
        <f>IF('PR_Annex_SR-Financials'!J16="","",'PR_Annex_SR-Financials'!J16)</f>
        <v>0</v>
      </c>
      <c r="AD16" s="877"/>
      <c r="AE16" s="878" t="str">
        <f>IF('PR_Annex_SR-Financials'!L16="","",'PR_Annex_SR-Financials'!L16)</f>
        <v/>
      </c>
      <c r="AF16" s="878" t="str">
        <f>IF('PR_Annex_SR-Financials'!M16="","",'PR_Annex_SR-Financials'!M16)</f>
        <v/>
      </c>
      <c r="AG16" s="878">
        <f t="shared" ref="AG16:AG21" si="9">IF(AB16="",IF(AE16="",0,SUM(AB16-AE16)),SUM(AB16-AE16))</f>
        <v>0</v>
      </c>
      <c r="AH16" s="883"/>
      <c r="AI16" s="880" t="str">
        <f>IF('PR_Annex_SR-Financials'!P16="","",'PR_Annex_SR-Financials'!P16)</f>
        <v/>
      </c>
    </row>
    <row r="17" spans="2:35" ht="49.5" customHeight="1" x14ac:dyDescent="0.2">
      <c r="B17" s="1723" t="str">
        <f t="shared" si="1"/>
        <v>Ministry of Labour &amp; Human Resource</v>
      </c>
      <c r="C17" s="883">
        <f>IF('PR_Annex_SR-Financials'!C17="","",'PR_Annex_SR-Financials'!C17)</f>
        <v>0</v>
      </c>
      <c r="D17" s="878" t="str">
        <f t="shared" si="0"/>
        <v/>
      </c>
      <c r="E17" s="877"/>
      <c r="F17" s="878">
        <f t="shared" si="2"/>
        <v>0</v>
      </c>
      <c r="G17" s="878">
        <f t="shared" si="3"/>
        <v>0</v>
      </c>
      <c r="H17" s="877"/>
      <c r="I17" s="878" t="str">
        <f t="shared" si="4"/>
        <v/>
      </c>
      <c r="J17" s="878">
        <f t="shared" si="5"/>
        <v>0</v>
      </c>
      <c r="K17" s="877"/>
      <c r="L17" s="878" t="str">
        <f t="shared" si="6"/>
        <v/>
      </c>
      <c r="M17" s="878" t="str">
        <f>AF17</f>
        <v/>
      </c>
      <c r="N17" s="1727">
        <f t="shared" si="7"/>
        <v>0</v>
      </c>
      <c r="O17" s="883">
        <v>0</v>
      </c>
      <c r="P17" s="878" t="str">
        <f t="shared" si="8"/>
        <v/>
      </c>
      <c r="Q17" s="1588" t="s">
        <v>1071</v>
      </c>
      <c r="U17" s="878" t="str">
        <f>IF('PR_Annex_SR-Financials'!B17="","",'PR_Annex_SR-Financials'!B17)</f>
        <v>Ministry of Labour &amp; Human Resource</v>
      </c>
      <c r="V17" s="878">
        <f>IF('PR_Annex_SR-Financials'!C17="","",'PR_Annex_SR-Financials'!C17)</f>
        <v>0</v>
      </c>
      <c r="W17" s="878" t="str">
        <f>IF('PR_Annex_SR-Financials'!D17="","",'PR_Annex_SR-Financials'!D17)</f>
        <v/>
      </c>
      <c r="X17" s="877"/>
      <c r="Y17" s="878">
        <f>IF('PR_Annex_SR-Financials'!F17="","",'PR_Annex_SR-Financials'!F17)</f>
        <v>0</v>
      </c>
      <c r="Z17" s="878">
        <f>IF('PR_Annex_SR-Financials'!G17="","",'PR_Annex_SR-Financials'!G17)</f>
        <v>0</v>
      </c>
      <c r="AA17" s="877"/>
      <c r="AB17" s="878" t="str">
        <f>IF('PR_Annex_SR-Financials'!I17="","",'PR_Annex_SR-Financials'!I17)</f>
        <v/>
      </c>
      <c r="AC17" s="878">
        <f>IF('PR_Annex_SR-Financials'!J17="","",'PR_Annex_SR-Financials'!J17)</f>
        <v>0</v>
      </c>
      <c r="AD17" s="877"/>
      <c r="AE17" s="878" t="str">
        <f>IF('PR_Annex_SR-Financials'!L17="","",'PR_Annex_SR-Financials'!L17)</f>
        <v/>
      </c>
      <c r="AF17" s="878" t="str">
        <f>IF('PR_Annex_SR-Financials'!M17="","",'PR_Annex_SR-Financials'!M17)</f>
        <v/>
      </c>
      <c r="AG17" s="878">
        <f t="shared" si="9"/>
        <v>0</v>
      </c>
      <c r="AH17" s="883"/>
      <c r="AI17" s="880" t="str">
        <f>IF('PR_Annex_SR-Financials'!P17="","",'PR_Annex_SR-Financials'!P17)</f>
        <v/>
      </c>
    </row>
    <row r="18" spans="2:35" ht="49.5" customHeight="1" x14ac:dyDescent="0.2">
      <c r="B18" s="1723" t="str">
        <f t="shared" si="1"/>
        <v>Bhutan Chamber of Commerce &amp; Industries</v>
      </c>
      <c r="C18" s="883">
        <f>IF('PR_Annex_SR-Financials'!C18="","",'PR_Annex_SR-Financials'!C18)</f>
        <v>0</v>
      </c>
      <c r="D18" s="878" t="str">
        <f t="shared" si="0"/>
        <v/>
      </c>
      <c r="E18" s="877"/>
      <c r="F18" s="878" t="str">
        <f t="shared" si="2"/>
        <v/>
      </c>
      <c r="G18" s="878">
        <f t="shared" si="3"/>
        <v>0</v>
      </c>
      <c r="H18" s="877"/>
      <c r="I18" s="878" t="str">
        <f t="shared" si="4"/>
        <v/>
      </c>
      <c r="J18" s="878">
        <f t="shared" si="5"/>
        <v>0</v>
      </c>
      <c r="K18" s="877"/>
      <c r="L18" s="878" t="str">
        <f t="shared" si="6"/>
        <v/>
      </c>
      <c r="M18" s="878" t="str">
        <f>AF18</f>
        <v/>
      </c>
      <c r="N18" s="1727">
        <f t="shared" si="7"/>
        <v>0</v>
      </c>
      <c r="O18" s="883">
        <v>0</v>
      </c>
      <c r="P18" s="878" t="str">
        <f t="shared" si="8"/>
        <v/>
      </c>
      <c r="Q18" s="1588" t="s">
        <v>1071</v>
      </c>
      <c r="U18" s="878" t="str">
        <f>IF('PR_Annex_SR-Financials'!B18="","",'PR_Annex_SR-Financials'!B18)</f>
        <v>Bhutan Chamber of Commerce &amp; Industries</v>
      </c>
      <c r="V18" s="878">
        <f>IF('PR_Annex_SR-Financials'!C18="","",'PR_Annex_SR-Financials'!C18)</f>
        <v>0</v>
      </c>
      <c r="W18" s="878" t="str">
        <f>IF('PR_Annex_SR-Financials'!D18="","",'PR_Annex_SR-Financials'!D18)</f>
        <v/>
      </c>
      <c r="X18" s="877"/>
      <c r="Y18" s="878" t="str">
        <f>IF('PR_Annex_SR-Financials'!F18="","",'PR_Annex_SR-Financials'!F18)</f>
        <v/>
      </c>
      <c r="Z18" s="878">
        <f>IF('PR_Annex_SR-Financials'!G18="","",'PR_Annex_SR-Financials'!G18)</f>
        <v>0</v>
      </c>
      <c r="AA18" s="877"/>
      <c r="AB18" s="878" t="str">
        <f>IF('PR_Annex_SR-Financials'!I18="","",'PR_Annex_SR-Financials'!I18)</f>
        <v/>
      </c>
      <c r="AC18" s="878">
        <f>IF('PR_Annex_SR-Financials'!J18="","",'PR_Annex_SR-Financials'!J18)</f>
        <v>0</v>
      </c>
      <c r="AD18" s="877"/>
      <c r="AE18" s="878" t="str">
        <f>IF('PR_Annex_SR-Financials'!L18="","",'PR_Annex_SR-Financials'!L18)</f>
        <v/>
      </c>
      <c r="AF18" s="878" t="str">
        <f>IF('PR_Annex_SR-Financials'!M18="","",'PR_Annex_SR-Financials'!M18)</f>
        <v/>
      </c>
      <c r="AG18" s="878">
        <f t="shared" si="9"/>
        <v>0</v>
      </c>
      <c r="AH18" s="883"/>
      <c r="AI18" s="880" t="str">
        <f>IF('PR_Annex_SR-Financials'!P18="","",'PR_Annex_SR-Financials'!P18)</f>
        <v/>
      </c>
    </row>
    <row r="19" spans="2:35" ht="49.5" customHeight="1" x14ac:dyDescent="0.2">
      <c r="B19" s="878" t="str">
        <f t="shared" si="1"/>
        <v>Armed Forces</v>
      </c>
      <c r="C19" s="883">
        <f>IF('PR_Annex_SR-Financials'!C19="","",'PR_Annex_SR-Financials'!C19)</f>
        <v>0</v>
      </c>
      <c r="D19" s="878" t="str">
        <f t="shared" si="0"/>
        <v/>
      </c>
      <c r="E19" s="877"/>
      <c r="F19" s="878" t="str">
        <f t="shared" si="2"/>
        <v/>
      </c>
      <c r="G19" s="878" t="str">
        <f t="shared" si="3"/>
        <v/>
      </c>
      <c r="H19" s="877"/>
      <c r="I19" s="878" t="str">
        <f t="shared" si="4"/>
        <v/>
      </c>
      <c r="J19" s="878">
        <f t="shared" si="5"/>
        <v>0</v>
      </c>
      <c r="K19" s="877"/>
      <c r="L19" s="878" t="str">
        <f t="shared" si="6"/>
        <v/>
      </c>
      <c r="M19" s="878" t="str">
        <f>AF19</f>
        <v/>
      </c>
      <c r="N19" s="1727">
        <f t="shared" si="7"/>
        <v>0</v>
      </c>
      <c r="O19" s="883">
        <v>0</v>
      </c>
      <c r="P19" s="878" t="str">
        <f t="shared" si="8"/>
        <v/>
      </c>
      <c r="Q19" s="1588" t="s">
        <v>1071</v>
      </c>
      <c r="U19" s="878" t="str">
        <f>IF('PR_Annex_SR-Financials'!B19="","",'PR_Annex_SR-Financials'!B19)</f>
        <v>Armed Forces</v>
      </c>
      <c r="V19" s="878">
        <f>IF('PR_Annex_SR-Financials'!C19="","",'PR_Annex_SR-Financials'!C19)</f>
        <v>0</v>
      </c>
      <c r="W19" s="878" t="str">
        <f>IF('PR_Annex_SR-Financials'!D19="","",'PR_Annex_SR-Financials'!D19)</f>
        <v/>
      </c>
      <c r="X19" s="877"/>
      <c r="Y19" s="878" t="str">
        <f>IF('PR_Annex_SR-Financials'!F19="","",'PR_Annex_SR-Financials'!F19)</f>
        <v/>
      </c>
      <c r="Z19" s="878" t="str">
        <f>IF('PR_Annex_SR-Financials'!G19="","",'PR_Annex_SR-Financials'!G19)</f>
        <v/>
      </c>
      <c r="AA19" s="877"/>
      <c r="AB19" s="878" t="str">
        <f>IF('PR_Annex_SR-Financials'!I19="","",'PR_Annex_SR-Financials'!I19)</f>
        <v/>
      </c>
      <c r="AC19" s="878">
        <f>IF('PR_Annex_SR-Financials'!J19="","",'PR_Annex_SR-Financials'!J19)</f>
        <v>0</v>
      </c>
      <c r="AD19" s="877"/>
      <c r="AE19" s="878" t="str">
        <f>IF('PR_Annex_SR-Financials'!L19="","",'PR_Annex_SR-Financials'!L19)</f>
        <v/>
      </c>
      <c r="AF19" s="878" t="str">
        <f>IF('PR_Annex_SR-Financials'!M19="","",'PR_Annex_SR-Financials'!M19)</f>
        <v/>
      </c>
      <c r="AG19" s="878">
        <f t="shared" si="9"/>
        <v>0</v>
      </c>
      <c r="AH19" s="883"/>
      <c r="AI19" s="880" t="str">
        <f>IF('PR_Annex_SR-Financials'!P19="","",'PR_Annex_SR-Financials'!P19)</f>
        <v/>
      </c>
    </row>
    <row r="20" spans="2:35" ht="49.5" customHeight="1" x14ac:dyDescent="0.2">
      <c r="B20" s="1723" t="str">
        <f t="shared" si="1"/>
        <v>Dratshang Lhengtshog</v>
      </c>
      <c r="C20" s="883">
        <f>IF('PR_Annex_SR-Financials'!C20="","",'PR_Annex_SR-Financials'!C20)</f>
        <v>0</v>
      </c>
      <c r="D20" s="878" t="str">
        <f t="shared" si="0"/>
        <v/>
      </c>
      <c r="E20" s="877"/>
      <c r="F20" s="878" t="str">
        <f t="shared" si="2"/>
        <v/>
      </c>
      <c r="G20" s="878" t="str">
        <f t="shared" si="3"/>
        <v/>
      </c>
      <c r="H20" s="877"/>
      <c r="I20" s="878" t="str">
        <f t="shared" si="4"/>
        <v/>
      </c>
      <c r="J20" s="878">
        <f t="shared" si="5"/>
        <v>0</v>
      </c>
      <c r="K20" s="877"/>
      <c r="L20" s="878" t="str">
        <f t="shared" si="6"/>
        <v/>
      </c>
      <c r="M20" s="878" t="str">
        <f>AF20</f>
        <v/>
      </c>
      <c r="N20" s="1727">
        <f t="shared" si="7"/>
        <v>0</v>
      </c>
      <c r="O20" s="883">
        <v>0</v>
      </c>
      <c r="P20" s="878" t="str">
        <f t="shared" si="8"/>
        <v/>
      </c>
      <c r="Q20" s="1588" t="s">
        <v>1071</v>
      </c>
      <c r="U20" s="878" t="str">
        <f>IF('PR_Annex_SR-Financials'!B20="","",'PR_Annex_SR-Financials'!B20)</f>
        <v>Dratshang Lhengtshog</v>
      </c>
      <c r="V20" s="878">
        <f>IF('PR_Annex_SR-Financials'!C20="","",'PR_Annex_SR-Financials'!C20)</f>
        <v>0</v>
      </c>
      <c r="W20" s="878" t="str">
        <f>IF('PR_Annex_SR-Financials'!D20="","",'PR_Annex_SR-Financials'!D20)</f>
        <v/>
      </c>
      <c r="X20" s="877"/>
      <c r="Y20" s="878" t="str">
        <f>IF('PR_Annex_SR-Financials'!F20="","",'PR_Annex_SR-Financials'!F20)</f>
        <v/>
      </c>
      <c r="Z20" s="878" t="str">
        <f>IF('PR_Annex_SR-Financials'!G20="","",'PR_Annex_SR-Financials'!G20)</f>
        <v/>
      </c>
      <c r="AA20" s="877"/>
      <c r="AB20" s="878" t="str">
        <f>IF('PR_Annex_SR-Financials'!I20="","",'PR_Annex_SR-Financials'!I20)</f>
        <v/>
      </c>
      <c r="AC20" s="878">
        <f>IF('PR_Annex_SR-Financials'!J20="","",'PR_Annex_SR-Financials'!J20)</f>
        <v>0</v>
      </c>
      <c r="AD20" s="877"/>
      <c r="AE20" s="878" t="str">
        <f>IF('PR_Annex_SR-Financials'!L20="","",'PR_Annex_SR-Financials'!L20)</f>
        <v/>
      </c>
      <c r="AF20" s="878" t="str">
        <f>IF('PR_Annex_SR-Financials'!M20="","",'PR_Annex_SR-Financials'!M20)</f>
        <v/>
      </c>
      <c r="AG20" s="878">
        <f t="shared" si="9"/>
        <v>0</v>
      </c>
      <c r="AH20" s="883"/>
      <c r="AI20" s="880" t="str">
        <f>IF('PR_Annex_SR-Financials'!P20="","",'PR_Annex_SR-Financials'!P20)</f>
        <v/>
      </c>
    </row>
    <row r="21" spans="2:35" ht="49.5" customHeight="1" x14ac:dyDescent="0.2">
      <c r="B21" s="1723" t="str">
        <f t="shared" si="1"/>
        <v>Royal Institute of Health Sciences</v>
      </c>
      <c r="C21" s="883">
        <f>IF('PR_Annex_SR-Financials'!C21="","",'PR_Annex_SR-Financials'!C21)</f>
        <v>0</v>
      </c>
      <c r="D21" s="878" t="str">
        <f t="shared" si="0"/>
        <v/>
      </c>
      <c r="E21" s="877"/>
      <c r="F21" s="878">
        <f t="shared" si="2"/>
        <v>0</v>
      </c>
      <c r="G21" s="878">
        <f t="shared" si="3"/>
        <v>0</v>
      </c>
      <c r="H21" s="877"/>
      <c r="I21" s="878" t="str">
        <f t="shared" si="4"/>
        <v/>
      </c>
      <c r="J21" s="878">
        <f t="shared" si="5"/>
        <v>0</v>
      </c>
      <c r="K21" s="877"/>
      <c r="L21" s="878" t="str">
        <f t="shared" si="6"/>
        <v/>
      </c>
      <c r="M21" s="878" t="str">
        <f>AF21</f>
        <v/>
      </c>
      <c r="N21" s="1727">
        <f t="shared" si="7"/>
        <v>0</v>
      </c>
      <c r="O21" s="883">
        <v>0</v>
      </c>
      <c r="P21" s="878" t="str">
        <f t="shared" si="8"/>
        <v/>
      </c>
      <c r="Q21" s="1588" t="s">
        <v>1071</v>
      </c>
      <c r="U21" s="878" t="str">
        <f>IF('PR_Annex_SR-Financials'!B21="","",'PR_Annex_SR-Financials'!B21)</f>
        <v>Royal Institute of Health Sciences</v>
      </c>
      <c r="V21" s="878">
        <f>IF('PR_Annex_SR-Financials'!C21="","",'PR_Annex_SR-Financials'!C21)</f>
        <v>0</v>
      </c>
      <c r="W21" s="878" t="str">
        <f>IF('PR_Annex_SR-Financials'!D21="","",'PR_Annex_SR-Financials'!D21)</f>
        <v/>
      </c>
      <c r="X21" s="877"/>
      <c r="Y21" s="878">
        <f>IF('PR_Annex_SR-Financials'!F21="","",'PR_Annex_SR-Financials'!F21)</f>
        <v>0</v>
      </c>
      <c r="Z21" s="878">
        <f>IF('PR_Annex_SR-Financials'!G21="","",'PR_Annex_SR-Financials'!G21)</f>
        <v>0</v>
      </c>
      <c r="AA21" s="877"/>
      <c r="AB21" s="878" t="str">
        <f>IF('PR_Annex_SR-Financials'!I21="","",'PR_Annex_SR-Financials'!I21)</f>
        <v/>
      </c>
      <c r="AC21" s="878">
        <f>IF('PR_Annex_SR-Financials'!J21="","",'PR_Annex_SR-Financials'!J21)</f>
        <v>0</v>
      </c>
      <c r="AD21" s="877"/>
      <c r="AE21" s="878" t="str">
        <f>IF('PR_Annex_SR-Financials'!L21="","",'PR_Annex_SR-Financials'!L21)</f>
        <v/>
      </c>
      <c r="AF21" s="878" t="str">
        <f>IF('PR_Annex_SR-Financials'!M21="","",'PR_Annex_SR-Financials'!M21)</f>
        <v/>
      </c>
      <c r="AG21" s="878">
        <f t="shared" si="9"/>
        <v>0</v>
      </c>
      <c r="AH21" s="883"/>
      <c r="AI21" s="880" t="str">
        <f>IF('PR_Annex_SR-Financials'!P21="","",'PR_Annex_SR-Financials'!P21)</f>
        <v/>
      </c>
    </row>
    <row r="22" spans="2:35" ht="12.75" customHeight="1" x14ac:dyDescent="0.2">
      <c r="B22" s="573"/>
      <c r="C22" s="574"/>
      <c r="D22" s="573"/>
      <c r="E22" s="350"/>
      <c r="F22" s="654"/>
      <c r="G22" s="654"/>
      <c r="H22" s="350"/>
      <c r="I22" s="654"/>
      <c r="J22" s="654"/>
      <c r="K22" s="350"/>
      <c r="L22" s="654"/>
      <c r="M22" s="656"/>
      <c r="N22" s="654"/>
      <c r="O22" s="655"/>
      <c r="P22" s="656"/>
      <c r="Q22" s="573"/>
    </row>
    <row r="23" spans="2:35" ht="15" x14ac:dyDescent="0.25">
      <c r="B23" s="573" t="s">
        <v>386</v>
      </c>
      <c r="C23" s="574"/>
      <c r="D23" s="573"/>
      <c r="E23" s="350"/>
      <c r="F23" s="1724">
        <f>SUM(F15:F21)</f>
        <v>0</v>
      </c>
      <c r="G23" s="1724">
        <f>SUM(G15:G21)</f>
        <v>0</v>
      </c>
      <c r="H23" s="1725"/>
      <c r="I23" s="1724">
        <f>SUM(I15:I21)</f>
        <v>0</v>
      </c>
      <c r="J23" s="1724">
        <f>SUM(J15:J21)</f>
        <v>0</v>
      </c>
      <c r="K23" s="1725"/>
      <c r="L23" s="1724">
        <f>SUM(L15:L21)</f>
        <v>0</v>
      </c>
      <c r="M23" s="1726"/>
      <c r="N23" s="1724">
        <f>SUM(N15:N21)</f>
        <v>0</v>
      </c>
      <c r="O23" s="655"/>
      <c r="P23" s="657"/>
      <c r="Q23" s="88"/>
      <c r="U23" s="573" t="s">
        <v>386</v>
      </c>
      <c r="V23" s="574"/>
      <c r="W23" s="573"/>
      <c r="X23" s="350"/>
      <c r="Y23" s="717">
        <f>SUM(Y15:Y21)</f>
        <v>0</v>
      </c>
      <c r="Z23" s="717">
        <f>SUM(Z15:Z21)</f>
        <v>0</v>
      </c>
      <c r="AA23" s="350"/>
      <c r="AB23" s="717">
        <f>SUM(AB15:AB21)</f>
        <v>0</v>
      </c>
      <c r="AC23" s="717">
        <f>SUM(AC15:AC21)</f>
        <v>0</v>
      </c>
      <c r="AD23" s="350"/>
      <c r="AE23" s="717">
        <f>SUM(AE15:AE21)</f>
        <v>0</v>
      </c>
      <c r="AF23" s="718"/>
      <c r="AG23" s="717">
        <f>SUM(AG15:AG21)</f>
        <v>0</v>
      </c>
    </row>
    <row r="24" spans="2:35" ht="14.25" x14ac:dyDescent="0.2">
      <c r="B24" s="75"/>
      <c r="C24" s="75"/>
      <c r="D24" s="75"/>
      <c r="E24" s="75"/>
      <c r="F24" s="75"/>
      <c r="G24" s="75"/>
      <c r="H24" s="75"/>
      <c r="I24" s="75"/>
      <c r="J24" s="75"/>
      <c r="K24" s="75"/>
      <c r="L24" s="75"/>
      <c r="M24" s="75"/>
      <c r="N24" s="576"/>
      <c r="O24" s="75"/>
      <c r="P24" s="75"/>
      <c r="Q24" s="75"/>
    </row>
    <row r="25" spans="2:35" ht="14.25" x14ac:dyDescent="0.2">
      <c r="B25" s="75" t="s">
        <v>172</v>
      </c>
      <c r="C25" s="75"/>
      <c r="D25" s="75"/>
      <c r="E25" s="75"/>
      <c r="F25" s="75"/>
      <c r="G25" s="75"/>
      <c r="H25" s="75"/>
      <c r="I25" s="75"/>
      <c r="J25" s="75"/>
      <c r="K25" s="75"/>
      <c r="L25" s="75"/>
      <c r="M25" s="75"/>
      <c r="N25" s="576"/>
      <c r="O25" s="75"/>
      <c r="P25" s="75"/>
      <c r="Q25" s="75"/>
    </row>
    <row r="26" spans="2:35" ht="14.25" x14ac:dyDescent="0.2">
      <c r="B26" s="75" t="s">
        <v>330</v>
      </c>
      <c r="C26" s="75"/>
      <c r="D26" s="75"/>
      <c r="E26" s="75"/>
      <c r="F26" s="75"/>
      <c r="G26" s="75"/>
      <c r="H26" s="75"/>
      <c r="I26" s="75"/>
      <c r="J26" s="75"/>
      <c r="K26" s="75"/>
      <c r="L26" s="75"/>
      <c r="M26" s="75"/>
      <c r="N26" s="576"/>
      <c r="O26" s="75"/>
      <c r="P26" s="75"/>
      <c r="Q26" s="75"/>
    </row>
    <row r="27" spans="2:35" ht="14.25" x14ac:dyDescent="0.2">
      <c r="B27" s="3"/>
      <c r="C27" s="75"/>
      <c r="D27" s="75"/>
      <c r="E27" s="75"/>
      <c r="F27" s="75"/>
      <c r="G27" s="75"/>
      <c r="H27" s="75"/>
      <c r="I27" s="75"/>
      <c r="J27" s="75"/>
      <c r="K27" s="75"/>
      <c r="L27" s="75"/>
      <c r="M27" s="75"/>
      <c r="N27" s="576"/>
      <c r="O27" s="75"/>
      <c r="P27" s="75"/>
      <c r="Q27" s="75"/>
    </row>
  </sheetData>
  <sheetProtection formatCells="0" formatColumns="0" formatRows="0"/>
  <mergeCells count="8">
    <mergeCell ref="B11:Q11"/>
    <mergeCell ref="B3:Q3"/>
    <mergeCell ref="B1:Q1"/>
    <mergeCell ref="G8:L8"/>
    <mergeCell ref="H6:I6"/>
    <mergeCell ref="H7:I7"/>
    <mergeCell ref="B9:F9"/>
    <mergeCell ref="G9:L9"/>
  </mergeCells>
  <phoneticPr fontId="37" type="noConversion"/>
  <conditionalFormatting sqref="F23:N23 B15:P21">
    <cfRule type="cellIs" dxfId="0" priority="1" operator="notEqual">
      <formula>U15</formula>
    </cfRule>
  </conditionalFormatting>
  <printOptions horizontalCentered="1"/>
  <pageMargins left="0.31496062992125984" right="0.31496062992125984" top="0.59055118110236227" bottom="0.59055118110236227" header="0.51181102362204722" footer="0.51181102362204722"/>
  <pageSetup paperSize="9" scale="53" fitToHeight="0" orientation="landscape" cellComments="asDisplayed" r:id="rId1"/>
  <headerFooter alignWithMargins="0">
    <oddFooter>&amp;L&amp;9&amp;F&amp;C&amp;A&amp;R&amp;9Page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1"/>
  <sheetViews>
    <sheetView zoomScale="112" zoomScaleNormal="112" workbookViewId="0">
      <pane xSplit="3" ySplit="1" topLeftCell="AA63" activePane="bottomRight" state="frozen"/>
      <selection pane="topRight" activeCell="D1" sqref="D1"/>
      <selection pane="bottomLeft" activeCell="A3" sqref="A3"/>
      <selection pane="bottomRight" activeCell="B1" sqref="B1:AB1"/>
    </sheetView>
  </sheetViews>
  <sheetFormatPr defaultRowHeight="12.75" x14ac:dyDescent="0.2"/>
  <cols>
    <col min="1" max="1" width="8.140625" style="1410" customWidth="1"/>
    <col min="2" max="2" width="53.140625" style="1410" customWidth="1"/>
    <col min="3" max="3" width="13.85546875" style="1410" customWidth="1"/>
    <col min="4" max="4" width="11.42578125" style="1410" customWidth="1"/>
    <col min="5" max="5" width="12" style="1410" customWidth="1"/>
    <col min="6" max="6" width="9.7109375" style="1410" customWidth="1"/>
    <col min="7" max="7" width="10.5703125" style="1410" customWidth="1"/>
    <col min="8" max="9" width="9.140625" style="1410"/>
    <col min="10" max="10" width="10.28515625" style="1410" customWidth="1"/>
    <col min="11" max="11" width="10.140625" style="1410" customWidth="1"/>
    <col min="12" max="12" width="10.42578125" style="1410" customWidth="1"/>
    <col min="13" max="13" width="9.140625" style="1410"/>
    <col min="14" max="14" width="11" style="1410" customWidth="1"/>
    <col min="15" max="15" width="10.5703125" style="1410" customWidth="1"/>
    <col min="16" max="16" width="10.7109375" style="1410" customWidth="1"/>
    <col min="17" max="17" width="9.140625" style="1410"/>
    <col min="18" max="18" width="10.28515625" style="1410" customWidth="1"/>
    <col min="19" max="20" width="9.85546875" style="1410" bestFit="1" customWidth="1"/>
    <col min="21" max="22" width="9.140625" style="1410"/>
    <col min="23" max="23" width="10.85546875" style="1410" customWidth="1"/>
    <col min="24" max="24" width="9.140625" style="1410"/>
    <col min="25" max="25" width="10.85546875" style="1410" customWidth="1"/>
    <col min="26" max="26" width="10.7109375" style="1410" customWidth="1"/>
    <col min="27" max="27" width="10.5703125" style="1410" bestFit="1" customWidth="1"/>
    <col min="28" max="28" width="9.140625" style="1410"/>
    <col min="29" max="29" width="52.42578125" style="1410" customWidth="1"/>
    <col min="30" max="16384" width="9.140625" style="1410"/>
  </cols>
  <sheetData>
    <row r="1" spans="1:29" ht="33" customHeight="1" x14ac:dyDescent="0.2">
      <c r="A1" s="1408"/>
      <c r="B1" s="2754" t="s">
        <v>1032</v>
      </c>
      <c r="C1" s="2755"/>
      <c r="D1" s="2755"/>
      <c r="E1" s="2755"/>
      <c r="F1" s="2755"/>
      <c r="G1" s="2755"/>
      <c r="H1" s="2755"/>
      <c r="I1" s="2755"/>
      <c r="J1" s="2755"/>
      <c r="K1" s="2755"/>
      <c r="L1" s="2755"/>
      <c r="M1" s="2755"/>
      <c r="N1" s="2755"/>
      <c r="O1" s="2755"/>
      <c r="P1" s="2755"/>
      <c r="Q1" s="2755"/>
      <c r="R1" s="2755"/>
      <c r="S1" s="2755"/>
      <c r="T1" s="2755"/>
      <c r="U1" s="2755"/>
      <c r="V1" s="2755"/>
      <c r="W1" s="2755"/>
      <c r="X1" s="2755"/>
      <c r="Y1" s="2755"/>
      <c r="Z1" s="2755"/>
      <c r="AA1" s="2755"/>
      <c r="AB1" s="2755"/>
      <c r="AC1" s="1409"/>
    </row>
    <row r="2" spans="1:29" ht="21" customHeight="1" x14ac:dyDescent="0.2">
      <c r="A2" s="2751" t="s">
        <v>1020</v>
      </c>
      <c r="B2" s="2751" t="s">
        <v>778</v>
      </c>
      <c r="C2" s="1411"/>
      <c r="D2" s="2762" t="s">
        <v>1002</v>
      </c>
      <c r="E2" s="2763"/>
      <c r="F2" s="2764"/>
      <c r="G2" s="2762" t="s">
        <v>1003</v>
      </c>
      <c r="H2" s="2763"/>
      <c r="I2" s="2764"/>
      <c r="J2" s="2762" t="s">
        <v>1005</v>
      </c>
      <c r="K2" s="2763"/>
      <c r="L2" s="2764"/>
      <c r="M2" s="2765" t="s">
        <v>1006</v>
      </c>
      <c r="N2" s="2766"/>
      <c r="O2" s="2766"/>
      <c r="P2" s="2756" t="s">
        <v>779</v>
      </c>
      <c r="Q2" s="2756"/>
      <c r="R2" s="2757"/>
      <c r="S2" s="2758" t="s">
        <v>780</v>
      </c>
      <c r="T2" s="2756"/>
      <c r="U2" s="2757"/>
      <c r="V2" s="2758" t="s">
        <v>781</v>
      </c>
      <c r="W2" s="2756"/>
      <c r="X2" s="2757"/>
      <c r="Y2" s="2759" t="s">
        <v>782</v>
      </c>
      <c r="Z2" s="2760"/>
      <c r="AA2" s="2760"/>
      <c r="AB2" s="2761"/>
      <c r="AC2" s="1412"/>
    </row>
    <row r="3" spans="1:29" ht="24" customHeight="1" x14ac:dyDescent="0.2">
      <c r="A3" s="2752"/>
      <c r="B3" s="2753"/>
      <c r="C3" s="1411" t="s">
        <v>459</v>
      </c>
      <c r="D3" s="1411" t="s">
        <v>1004</v>
      </c>
      <c r="E3" s="1411" t="s">
        <v>783</v>
      </c>
      <c r="F3" s="1411" t="s">
        <v>596</v>
      </c>
      <c r="G3" s="1411" t="s">
        <v>1004</v>
      </c>
      <c r="H3" s="1411" t="s">
        <v>783</v>
      </c>
      <c r="I3" s="1411" t="s">
        <v>596</v>
      </c>
      <c r="J3" s="1411" t="s">
        <v>1004</v>
      </c>
      <c r="K3" s="1411" t="s">
        <v>783</v>
      </c>
      <c r="L3" s="1413" t="s">
        <v>596</v>
      </c>
      <c r="M3" s="1413" t="s">
        <v>1004</v>
      </c>
      <c r="N3" s="1413" t="s">
        <v>783</v>
      </c>
      <c r="O3" s="1413" t="s">
        <v>596</v>
      </c>
      <c r="P3" s="1413" t="s">
        <v>784</v>
      </c>
      <c r="Q3" s="1413" t="s">
        <v>783</v>
      </c>
      <c r="R3" s="1413" t="s">
        <v>596</v>
      </c>
      <c r="S3" s="1413" t="s">
        <v>784</v>
      </c>
      <c r="T3" s="1413" t="s">
        <v>785</v>
      </c>
      <c r="U3" s="1413" t="s">
        <v>596</v>
      </c>
      <c r="V3" s="1413" t="s">
        <v>784</v>
      </c>
      <c r="W3" s="1413" t="s">
        <v>785</v>
      </c>
      <c r="X3" s="1413" t="s">
        <v>596</v>
      </c>
      <c r="Y3" s="1413" t="s">
        <v>786</v>
      </c>
      <c r="Z3" s="1413" t="s">
        <v>787</v>
      </c>
      <c r="AA3" s="1413" t="s">
        <v>788</v>
      </c>
      <c r="AB3" s="1413" t="s">
        <v>789</v>
      </c>
      <c r="AC3" s="2746" t="s">
        <v>572</v>
      </c>
    </row>
    <row r="4" spans="1:29" ht="23.25" customHeight="1" x14ac:dyDescent="0.2">
      <c r="A4" s="2753"/>
      <c r="B4" s="1411"/>
      <c r="C4" s="1411"/>
      <c r="D4" s="1411"/>
      <c r="E4" s="1411"/>
      <c r="F4" s="1411"/>
      <c r="G4" s="1411"/>
      <c r="H4" s="1411"/>
      <c r="I4" s="1411"/>
      <c r="J4" s="1411"/>
      <c r="K4" s="1411"/>
      <c r="L4" s="1413"/>
      <c r="M4" s="1411"/>
      <c r="N4" s="1414"/>
      <c r="O4" s="1415"/>
      <c r="P4" s="1415"/>
      <c r="Q4" s="1415"/>
      <c r="R4" s="1415"/>
      <c r="S4" s="1413"/>
      <c r="T4" s="1413"/>
      <c r="U4" s="1415"/>
      <c r="V4" s="1415"/>
      <c r="W4" s="1415"/>
      <c r="X4" s="1415"/>
      <c r="Y4" s="1413"/>
      <c r="Z4" s="1413"/>
      <c r="AA4" s="1413"/>
      <c r="AB4" s="1413"/>
      <c r="AC4" s="2747"/>
    </row>
    <row r="5" spans="1:29" s="1428" customFormat="1" ht="24" x14ac:dyDescent="0.2">
      <c r="A5" s="1416" t="s">
        <v>791</v>
      </c>
      <c r="B5" s="1417" t="s">
        <v>792</v>
      </c>
      <c r="C5" s="1418" t="s">
        <v>790</v>
      </c>
      <c r="D5" s="1419">
        <v>10085</v>
      </c>
      <c r="E5" s="1420">
        <v>3806.69</v>
      </c>
      <c r="F5" s="1420">
        <f>+D5-E5</f>
        <v>6278.3099999999995</v>
      </c>
      <c r="G5" s="1416"/>
      <c r="H5" s="1416"/>
      <c r="I5" s="1421">
        <f>+G5-H5</f>
        <v>0</v>
      </c>
      <c r="J5" s="1419">
        <v>10085</v>
      </c>
      <c r="K5" s="1420"/>
      <c r="L5" s="1420">
        <f>+J5-K5</f>
        <v>10085</v>
      </c>
      <c r="M5" s="1419">
        <v>10085</v>
      </c>
      <c r="N5" s="1420">
        <v>30254.000855798029</v>
      </c>
      <c r="O5" s="1422">
        <f>+M5-N5</f>
        <v>-20169.000855798029</v>
      </c>
      <c r="P5" s="1422">
        <v>69692.070000000007</v>
      </c>
      <c r="Q5" s="1422"/>
      <c r="R5" s="1422">
        <f>+P5-Q5</f>
        <v>69692.070000000007</v>
      </c>
      <c r="S5" s="1422"/>
      <c r="T5" s="1422"/>
      <c r="U5" s="1422">
        <f t="shared" ref="U5:U37" si="0">+S5-T5</f>
        <v>0</v>
      </c>
      <c r="V5" s="1422">
        <v>0</v>
      </c>
      <c r="W5" s="1422">
        <v>0</v>
      </c>
      <c r="X5" s="1422">
        <f t="shared" ref="X5:X36" si="1">+V5-W5</f>
        <v>0</v>
      </c>
      <c r="Y5" s="1423">
        <f t="shared" ref="Y5:Y36" si="2">+J5+G5+D5+M5+P5+S5+V5</f>
        <v>99947.07</v>
      </c>
      <c r="Z5" s="1424">
        <f t="shared" ref="Z5:Z36" si="3">+N5+K5+H5+E5+Q5+T5+W5</f>
        <v>34060.690855798028</v>
      </c>
      <c r="AA5" s="1425">
        <f>+Y5-Z5</f>
        <v>65886.379144201986</v>
      </c>
      <c r="AB5" s="1426">
        <f t="shared" ref="AB5:AB12" si="4">+AA5/Y5</f>
        <v>0.65921271273086823</v>
      </c>
      <c r="AC5" s="1427" t="s">
        <v>1058</v>
      </c>
    </row>
    <row r="6" spans="1:29" ht="12.95" customHeight="1" x14ac:dyDescent="0.2">
      <c r="A6" s="1416"/>
      <c r="B6" s="1429" t="s">
        <v>793</v>
      </c>
      <c r="C6" s="1418" t="s">
        <v>790</v>
      </c>
      <c r="D6" s="1419"/>
      <c r="E6" s="1420"/>
      <c r="F6" s="1420"/>
      <c r="G6" s="1416"/>
      <c r="H6" s="1416"/>
      <c r="I6" s="1421"/>
      <c r="J6" s="1419"/>
      <c r="K6" s="1420"/>
      <c r="L6" s="1420"/>
      <c r="M6" s="1419"/>
      <c r="N6" s="1420"/>
      <c r="O6" s="1422"/>
      <c r="P6" s="1422"/>
      <c r="Q6" s="1422"/>
      <c r="R6" s="1422"/>
      <c r="S6" s="1422">
        <v>28160</v>
      </c>
      <c r="T6" s="1422">
        <v>0</v>
      </c>
      <c r="U6" s="1422">
        <f t="shared" si="0"/>
        <v>28160</v>
      </c>
      <c r="V6" s="1422">
        <v>0</v>
      </c>
      <c r="W6" s="1422">
        <v>6642.3848357945781</v>
      </c>
      <c r="X6" s="1422">
        <f t="shared" si="1"/>
        <v>-6642.3848357945781</v>
      </c>
      <c r="Y6" s="1423">
        <f t="shared" si="2"/>
        <v>28160</v>
      </c>
      <c r="Z6" s="1424">
        <f t="shared" si="3"/>
        <v>6642.3848357945781</v>
      </c>
      <c r="AA6" s="1425">
        <f t="shared" ref="AA6:AA69" si="5">+Y6-Z6</f>
        <v>21517.615164205421</v>
      </c>
      <c r="AB6" s="1426">
        <f t="shared" si="4"/>
        <v>0.76411985668343119</v>
      </c>
      <c r="AC6" s="2748" t="s">
        <v>1059</v>
      </c>
    </row>
    <row r="7" spans="1:29" ht="13.5" x14ac:dyDescent="0.2">
      <c r="A7" s="1416"/>
      <c r="B7" s="1429" t="s">
        <v>794</v>
      </c>
      <c r="C7" s="1418" t="s">
        <v>790</v>
      </c>
      <c r="D7" s="1419"/>
      <c r="E7" s="1420"/>
      <c r="F7" s="1420"/>
      <c r="G7" s="1416"/>
      <c r="H7" s="1416"/>
      <c r="I7" s="1421"/>
      <c r="J7" s="1419"/>
      <c r="K7" s="1420"/>
      <c r="L7" s="1420"/>
      <c r="M7" s="1419"/>
      <c r="N7" s="1420"/>
      <c r="O7" s="1422"/>
      <c r="P7" s="1422"/>
      <c r="Q7" s="1422"/>
      <c r="R7" s="1422"/>
      <c r="S7" s="1422">
        <v>2800</v>
      </c>
      <c r="T7" s="1422">
        <v>0</v>
      </c>
      <c r="U7" s="1422">
        <f t="shared" si="0"/>
        <v>2800</v>
      </c>
      <c r="V7" s="1422">
        <v>0</v>
      </c>
      <c r="W7" s="1422">
        <v>0</v>
      </c>
      <c r="X7" s="1422">
        <f t="shared" si="1"/>
        <v>0</v>
      </c>
      <c r="Y7" s="1423">
        <f t="shared" si="2"/>
        <v>2800</v>
      </c>
      <c r="Z7" s="1424">
        <f t="shared" si="3"/>
        <v>0</v>
      </c>
      <c r="AA7" s="1425">
        <f t="shared" si="5"/>
        <v>2800</v>
      </c>
      <c r="AB7" s="1426">
        <f t="shared" si="4"/>
        <v>1</v>
      </c>
      <c r="AC7" s="2749"/>
    </row>
    <row r="8" spans="1:29" ht="13.5" x14ac:dyDescent="0.2">
      <c r="A8" s="1416"/>
      <c r="B8" s="1429" t="s">
        <v>795</v>
      </c>
      <c r="C8" s="1418" t="s">
        <v>790</v>
      </c>
      <c r="D8" s="1419"/>
      <c r="E8" s="1420"/>
      <c r="F8" s="1420"/>
      <c r="G8" s="1416"/>
      <c r="H8" s="1416"/>
      <c r="I8" s="1421"/>
      <c r="J8" s="1419"/>
      <c r="K8" s="1420"/>
      <c r="L8" s="1420"/>
      <c r="M8" s="1419"/>
      <c r="N8" s="1420"/>
      <c r="O8" s="1422"/>
      <c r="P8" s="1422"/>
      <c r="Q8" s="1422"/>
      <c r="R8" s="1422"/>
      <c r="S8" s="1422">
        <v>13500</v>
      </c>
      <c r="T8" s="1422">
        <v>0</v>
      </c>
      <c r="U8" s="1422">
        <f t="shared" si="0"/>
        <v>13500</v>
      </c>
      <c r="V8" s="1422">
        <v>0</v>
      </c>
      <c r="W8" s="1422">
        <v>13500</v>
      </c>
      <c r="X8" s="1422">
        <f t="shared" si="1"/>
        <v>-13500</v>
      </c>
      <c r="Y8" s="1423">
        <f t="shared" si="2"/>
        <v>13500</v>
      </c>
      <c r="Z8" s="1424">
        <f t="shared" si="3"/>
        <v>13500</v>
      </c>
      <c r="AA8" s="1425">
        <f t="shared" si="5"/>
        <v>0</v>
      </c>
      <c r="AB8" s="1426">
        <f t="shared" si="4"/>
        <v>0</v>
      </c>
      <c r="AC8" s="2749"/>
    </row>
    <row r="9" spans="1:29" ht="13.5" x14ac:dyDescent="0.2">
      <c r="A9" s="1416"/>
      <c r="B9" s="1429" t="s">
        <v>796</v>
      </c>
      <c r="C9" s="1418" t="s">
        <v>790</v>
      </c>
      <c r="D9" s="1419"/>
      <c r="E9" s="1420"/>
      <c r="F9" s="1420"/>
      <c r="G9" s="1416"/>
      <c r="H9" s="1416"/>
      <c r="I9" s="1421"/>
      <c r="J9" s="1419"/>
      <c r="K9" s="1420"/>
      <c r="L9" s="1420"/>
      <c r="M9" s="1419"/>
      <c r="N9" s="1420"/>
      <c r="O9" s="1422"/>
      <c r="P9" s="1422"/>
      <c r="Q9" s="1422"/>
      <c r="R9" s="1422"/>
      <c r="S9" s="1422">
        <v>3000</v>
      </c>
      <c r="T9" s="1422">
        <v>0</v>
      </c>
      <c r="U9" s="1422">
        <f t="shared" si="0"/>
        <v>3000</v>
      </c>
      <c r="V9" s="1422">
        <v>0</v>
      </c>
      <c r="W9" s="1422">
        <v>3000</v>
      </c>
      <c r="X9" s="1422">
        <f t="shared" si="1"/>
        <v>-3000</v>
      </c>
      <c r="Y9" s="1423">
        <f t="shared" si="2"/>
        <v>3000</v>
      </c>
      <c r="Z9" s="1424">
        <f t="shared" si="3"/>
        <v>3000</v>
      </c>
      <c r="AA9" s="1425">
        <f t="shared" si="5"/>
        <v>0</v>
      </c>
      <c r="AB9" s="1426">
        <f t="shared" si="4"/>
        <v>0</v>
      </c>
      <c r="AC9" s="2749"/>
    </row>
    <row r="10" spans="1:29" ht="13.5" x14ac:dyDescent="0.2">
      <c r="A10" s="1416"/>
      <c r="B10" s="1429" t="s">
        <v>797</v>
      </c>
      <c r="C10" s="1418" t="s">
        <v>790</v>
      </c>
      <c r="D10" s="1419"/>
      <c r="E10" s="1420"/>
      <c r="F10" s="1420"/>
      <c r="G10" s="1416"/>
      <c r="H10" s="1416"/>
      <c r="I10" s="1421"/>
      <c r="J10" s="1419"/>
      <c r="K10" s="1420"/>
      <c r="L10" s="1420"/>
      <c r="M10" s="1419"/>
      <c r="N10" s="1420"/>
      <c r="O10" s="1422"/>
      <c r="P10" s="1422"/>
      <c r="Q10" s="1422"/>
      <c r="R10" s="1422"/>
      <c r="S10" s="1422">
        <v>450</v>
      </c>
      <c r="T10" s="1422">
        <v>0</v>
      </c>
      <c r="U10" s="1422">
        <f t="shared" si="0"/>
        <v>450</v>
      </c>
      <c r="V10" s="1422">
        <v>0</v>
      </c>
      <c r="W10" s="1422">
        <v>0</v>
      </c>
      <c r="X10" s="1422">
        <f t="shared" si="1"/>
        <v>0</v>
      </c>
      <c r="Y10" s="1423">
        <f t="shared" si="2"/>
        <v>450</v>
      </c>
      <c r="Z10" s="1424">
        <f t="shared" si="3"/>
        <v>0</v>
      </c>
      <c r="AA10" s="1425">
        <f t="shared" si="5"/>
        <v>450</v>
      </c>
      <c r="AB10" s="1426">
        <f t="shared" si="4"/>
        <v>1</v>
      </c>
      <c r="AC10" s="2750"/>
    </row>
    <row r="11" spans="1:29" ht="24" x14ac:dyDescent="0.2">
      <c r="A11" s="1416" t="s">
        <v>798</v>
      </c>
      <c r="B11" s="1417" t="s">
        <v>799</v>
      </c>
      <c r="C11" s="1430" t="s">
        <v>790</v>
      </c>
      <c r="D11" s="1419"/>
      <c r="E11" s="1420"/>
      <c r="F11" s="1420">
        <f>+D11-E11</f>
        <v>0</v>
      </c>
      <c r="G11" s="1419">
        <v>21495</v>
      </c>
      <c r="H11" s="1419"/>
      <c r="I11" s="1421">
        <f>+G11-H11</f>
        <v>21495</v>
      </c>
      <c r="J11" s="1419">
        <v>21495</v>
      </c>
      <c r="K11" s="1420"/>
      <c r="L11" s="1420">
        <f>+J11-K11</f>
        <v>21495</v>
      </c>
      <c r="M11" s="1416"/>
      <c r="N11" s="1421">
        <v>42988.87462558836</v>
      </c>
      <c r="O11" s="1422">
        <f>+M11-N11</f>
        <v>-42988.87462558836</v>
      </c>
      <c r="P11" s="1422"/>
      <c r="Q11" s="1422"/>
      <c r="R11" s="1422">
        <f>+P11-Q11</f>
        <v>0</v>
      </c>
      <c r="S11" s="1422"/>
      <c r="T11" s="1422"/>
      <c r="U11" s="1422">
        <f t="shared" si="0"/>
        <v>0</v>
      </c>
      <c r="V11" s="1422">
        <v>0</v>
      </c>
      <c r="W11" s="1422">
        <v>0</v>
      </c>
      <c r="X11" s="1422">
        <f t="shared" si="1"/>
        <v>0</v>
      </c>
      <c r="Y11" s="1423">
        <f t="shared" si="2"/>
        <v>42990</v>
      </c>
      <c r="Z11" s="1424">
        <f t="shared" si="3"/>
        <v>42988.87462558836</v>
      </c>
      <c r="AA11" s="1425">
        <f t="shared" si="5"/>
        <v>1.1253744116402231</v>
      </c>
      <c r="AB11" s="1426">
        <f t="shared" si="4"/>
        <v>2.6177585755762342E-5</v>
      </c>
      <c r="AC11" s="1431" t="s">
        <v>800</v>
      </c>
    </row>
    <row r="12" spans="1:29" ht="27" x14ac:dyDescent="0.2">
      <c r="A12" s="1416"/>
      <c r="B12" s="1432" t="s">
        <v>801</v>
      </c>
      <c r="C12" s="1430" t="s">
        <v>790</v>
      </c>
      <c r="D12" s="1419"/>
      <c r="E12" s="1420"/>
      <c r="F12" s="1420"/>
      <c r="G12" s="1419"/>
      <c r="H12" s="1419"/>
      <c r="I12" s="1421"/>
      <c r="J12" s="1419"/>
      <c r="K12" s="1420"/>
      <c r="L12" s="1420"/>
      <c r="M12" s="1416"/>
      <c r="N12" s="1421"/>
      <c r="O12" s="1422"/>
      <c r="P12" s="1422"/>
      <c r="Q12" s="1422"/>
      <c r="R12" s="1422"/>
      <c r="S12" s="1422">
        <v>27522</v>
      </c>
      <c r="T12" s="1422"/>
      <c r="U12" s="1422">
        <f t="shared" si="0"/>
        <v>27522</v>
      </c>
      <c r="V12" s="1422">
        <v>0</v>
      </c>
      <c r="W12" s="1422">
        <v>0</v>
      </c>
      <c r="X12" s="1422">
        <f t="shared" si="1"/>
        <v>0</v>
      </c>
      <c r="Y12" s="1423">
        <f t="shared" si="2"/>
        <v>27522</v>
      </c>
      <c r="Z12" s="1424">
        <f t="shared" si="3"/>
        <v>0</v>
      </c>
      <c r="AA12" s="1425">
        <f t="shared" si="5"/>
        <v>27522</v>
      </c>
      <c r="AB12" s="1426">
        <f t="shared" si="4"/>
        <v>1</v>
      </c>
      <c r="AC12" s="1427" t="s">
        <v>802</v>
      </c>
    </row>
    <row r="13" spans="1:29" ht="13.5" x14ac:dyDescent="0.2">
      <c r="A13" s="1416"/>
      <c r="B13" s="1429" t="s">
        <v>803</v>
      </c>
      <c r="C13" s="1430" t="s">
        <v>790</v>
      </c>
      <c r="D13" s="1419"/>
      <c r="E13" s="1420"/>
      <c r="F13" s="1420"/>
      <c r="G13" s="1419"/>
      <c r="H13" s="1419"/>
      <c r="I13" s="1421"/>
      <c r="J13" s="1419"/>
      <c r="K13" s="1420"/>
      <c r="L13" s="1420"/>
      <c r="M13" s="1416"/>
      <c r="N13" s="1421"/>
      <c r="O13" s="1422"/>
      <c r="P13" s="1422"/>
      <c r="Q13" s="1422"/>
      <c r="R13" s="1422"/>
      <c r="S13" s="1422">
        <v>0</v>
      </c>
      <c r="T13" s="1422"/>
      <c r="U13" s="1422">
        <f t="shared" si="0"/>
        <v>0</v>
      </c>
      <c r="V13" s="1422">
        <v>0</v>
      </c>
      <c r="W13" s="1422">
        <v>0</v>
      </c>
      <c r="X13" s="1422">
        <f t="shared" si="1"/>
        <v>0</v>
      </c>
      <c r="Y13" s="1423">
        <f t="shared" si="2"/>
        <v>0</v>
      </c>
      <c r="Z13" s="1424">
        <f t="shared" si="3"/>
        <v>0</v>
      </c>
      <c r="AA13" s="1425">
        <f t="shared" si="5"/>
        <v>0</v>
      </c>
      <c r="AB13" s="1426">
        <v>0</v>
      </c>
      <c r="AC13" s="1431"/>
    </row>
    <row r="14" spans="1:29" ht="13.5" x14ac:dyDescent="0.2">
      <c r="A14" s="1416"/>
      <c r="B14" s="1429" t="s">
        <v>804</v>
      </c>
      <c r="C14" s="1430" t="s">
        <v>790</v>
      </c>
      <c r="D14" s="1419"/>
      <c r="E14" s="1420"/>
      <c r="F14" s="1420"/>
      <c r="G14" s="1419"/>
      <c r="H14" s="1419"/>
      <c r="I14" s="1421"/>
      <c r="J14" s="1419"/>
      <c r="K14" s="1420"/>
      <c r="L14" s="1420"/>
      <c r="M14" s="1416"/>
      <c r="N14" s="1421"/>
      <c r="O14" s="1422"/>
      <c r="P14" s="1422"/>
      <c r="Q14" s="1422"/>
      <c r="R14" s="1422"/>
      <c r="S14" s="1422">
        <v>4950</v>
      </c>
      <c r="T14" s="1422">
        <v>4948.2</v>
      </c>
      <c r="U14" s="1422">
        <f t="shared" si="0"/>
        <v>1.8000000000001819</v>
      </c>
      <c r="V14" s="1422">
        <v>0</v>
      </c>
      <c r="W14" s="1422">
        <v>0</v>
      </c>
      <c r="X14" s="1422">
        <f t="shared" si="1"/>
        <v>0</v>
      </c>
      <c r="Y14" s="1423">
        <f t="shared" si="2"/>
        <v>4950</v>
      </c>
      <c r="Z14" s="1424">
        <f t="shared" si="3"/>
        <v>4948.2</v>
      </c>
      <c r="AA14" s="1425">
        <f t="shared" si="5"/>
        <v>1.8000000000001819</v>
      </c>
      <c r="AB14" s="1426">
        <f>+AA14/Y14</f>
        <v>3.6363636363640037E-4</v>
      </c>
      <c r="AC14" s="1431"/>
    </row>
    <row r="15" spans="1:29" ht="24" x14ac:dyDescent="0.2">
      <c r="A15" s="1416" t="s">
        <v>805</v>
      </c>
      <c r="B15" s="1417" t="s">
        <v>806</v>
      </c>
      <c r="C15" s="1430" t="s">
        <v>790</v>
      </c>
      <c r="D15" s="1419">
        <v>12000</v>
      </c>
      <c r="E15" s="1420"/>
      <c r="F15" s="1420">
        <f t="shared" ref="F15:F22" si="6">+D15-E15</f>
        <v>12000</v>
      </c>
      <c r="G15" s="1419"/>
      <c r="H15" s="1419">
        <v>3627.28</v>
      </c>
      <c r="I15" s="1421">
        <f t="shared" ref="I15:I22" si="7">+G15-H15</f>
        <v>-3627.28</v>
      </c>
      <c r="J15" s="1419"/>
      <c r="K15" s="1420"/>
      <c r="L15" s="1420">
        <f t="shared" ref="L15:L22" si="8">+J15-K15</f>
        <v>0</v>
      </c>
      <c r="M15" s="1416"/>
      <c r="N15" s="1421">
        <v>12000</v>
      </c>
      <c r="O15" s="1422">
        <f t="shared" ref="O15:O22" si="9">+M15-N15</f>
        <v>-12000</v>
      </c>
      <c r="P15" s="1422"/>
      <c r="Q15" s="1422"/>
      <c r="R15" s="1422">
        <f t="shared" ref="R15:R22" si="10">+P15-Q15</f>
        <v>0</v>
      </c>
      <c r="S15" s="1422"/>
      <c r="T15" s="1422"/>
      <c r="U15" s="1422">
        <f t="shared" si="0"/>
        <v>0</v>
      </c>
      <c r="V15" s="1422">
        <v>0</v>
      </c>
      <c r="W15" s="1422">
        <v>0</v>
      </c>
      <c r="X15" s="1422">
        <f t="shared" si="1"/>
        <v>0</v>
      </c>
      <c r="Y15" s="1423">
        <f t="shared" si="2"/>
        <v>12000</v>
      </c>
      <c r="Z15" s="1424">
        <f t="shared" si="3"/>
        <v>15627.28</v>
      </c>
      <c r="AA15" s="1425">
        <f t="shared" si="5"/>
        <v>-3627.2800000000007</v>
      </c>
      <c r="AB15" s="1426">
        <f>+AA15/Y15</f>
        <v>-0.30227333333333339</v>
      </c>
      <c r="AC15" s="1427" t="s">
        <v>807</v>
      </c>
    </row>
    <row r="16" spans="1:29" x14ac:dyDescent="0.2">
      <c r="A16" s="1416" t="s">
        <v>808</v>
      </c>
      <c r="B16" s="1417" t="s">
        <v>809</v>
      </c>
      <c r="C16" s="1430" t="s">
        <v>790</v>
      </c>
      <c r="D16" s="1419">
        <v>5850</v>
      </c>
      <c r="E16" s="1420"/>
      <c r="F16" s="1420">
        <f t="shared" si="6"/>
        <v>5850</v>
      </c>
      <c r="G16" s="1419"/>
      <c r="H16" s="1419"/>
      <c r="I16" s="1421">
        <f t="shared" si="7"/>
        <v>0</v>
      </c>
      <c r="J16" s="1419"/>
      <c r="K16" s="1420"/>
      <c r="L16" s="1420">
        <f t="shared" si="8"/>
        <v>0</v>
      </c>
      <c r="M16" s="1416"/>
      <c r="N16" s="1421">
        <v>5850</v>
      </c>
      <c r="O16" s="1422">
        <f t="shared" si="9"/>
        <v>-5850</v>
      </c>
      <c r="P16" s="1422"/>
      <c r="Q16" s="1422"/>
      <c r="R16" s="1422">
        <f t="shared" si="10"/>
        <v>0</v>
      </c>
      <c r="S16" s="1422"/>
      <c r="T16" s="1422"/>
      <c r="U16" s="1422">
        <f t="shared" si="0"/>
        <v>0</v>
      </c>
      <c r="V16" s="1422">
        <v>0</v>
      </c>
      <c r="W16" s="1422">
        <v>0</v>
      </c>
      <c r="X16" s="1422">
        <f t="shared" si="1"/>
        <v>0</v>
      </c>
      <c r="Y16" s="1423">
        <f t="shared" si="2"/>
        <v>5850</v>
      </c>
      <c r="Z16" s="1424">
        <f t="shared" si="3"/>
        <v>5850</v>
      </c>
      <c r="AA16" s="1425">
        <f t="shared" si="5"/>
        <v>0</v>
      </c>
      <c r="AB16" s="1426">
        <f>+AA16/Y16</f>
        <v>0</v>
      </c>
      <c r="AC16" s="1431"/>
    </row>
    <row r="17" spans="1:29" x14ac:dyDescent="0.2">
      <c r="A17" s="1416" t="s">
        <v>810</v>
      </c>
      <c r="B17" s="1417" t="s">
        <v>811</v>
      </c>
      <c r="C17" s="1430" t="s">
        <v>790</v>
      </c>
      <c r="D17" s="1419">
        <v>4500</v>
      </c>
      <c r="E17" s="1420"/>
      <c r="F17" s="1420">
        <f t="shared" si="6"/>
        <v>4500</v>
      </c>
      <c r="G17" s="1416"/>
      <c r="H17" s="1416"/>
      <c r="I17" s="1421">
        <f t="shared" si="7"/>
        <v>0</v>
      </c>
      <c r="J17" s="1419"/>
      <c r="K17" s="1420"/>
      <c r="L17" s="1420">
        <f t="shared" si="8"/>
        <v>0</v>
      </c>
      <c r="M17" s="1419"/>
      <c r="N17" s="1420">
        <v>4500</v>
      </c>
      <c r="O17" s="1422">
        <f t="shared" si="9"/>
        <v>-4500</v>
      </c>
      <c r="P17" s="1422"/>
      <c r="Q17" s="1422"/>
      <c r="R17" s="1422">
        <f t="shared" si="10"/>
        <v>0</v>
      </c>
      <c r="S17" s="1422"/>
      <c r="T17" s="1422"/>
      <c r="U17" s="1422">
        <f t="shared" si="0"/>
        <v>0</v>
      </c>
      <c r="V17" s="1422">
        <v>0</v>
      </c>
      <c r="W17" s="1422">
        <v>0</v>
      </c>
      <c r="X17" s="1422">
        <f t="shared" si="1"/>
        <v>0</v>
      </c>
      <c r="Y17" s="1423">
        <f t="shared" si="2"/>
        <v>4500</v>
      </c>
      <c r="Z17" s="1424">
        <f t="shared" si="3"/>
        <v>4500</v>
      </c>
      <c r="AA17" s="1425">
        <f t="shared" si="5"/>
        <v>0</v>
      </c>
      <c r="AB17" s="1426">
        <f>+AA17/Y17</f>
        <v>0</v>
      </c>
      <c r="AC17" s="1431"/>
    </row>
    <row r="18" spans="1:29" x14ac:dyDescent="0.2">
      <c r="A18" s="1416" t="s">
        <v>812</v>
      </c>
      <c r="B18" s="1417" t="s">
        <v>813</v>
      </c>
      <c r="C18" s="1430" t="s">
        <v>790</v>
      </c>
      <c r="D18" s="1419">
        <v>0</v>
      </c>
      <c r="E18" s="1420"/>
      <c r="F18" s="1420">
        <f t="shared" si="6"/>
        <v>0</v>
      </c>
      <c r="G18" s="1419"/>
      <c r="H18" s="1419"/>
      <c r="I18" s="1421">
        <f t="shared" si="7"/>
        <v>0</v>
      </c>
      <c r="J18" s="1416"/>
      <c r="K18" s="1421"/>
      <c r="L18" s="1420">
        <f t="shared" si="8"/>
        <v>0</v>
      </c>
      <c r="M18" s="1419"/>
      <c r="N18" s="1420">
        <v>0</v>
      </c>
      <c r="O18" s="1422">
        <f t="shared" si="9"/>
        <v>0</v>
      </c>
      <c r="P18" s="1422"/>
      <c r="Q18" s="1422"/>
      <c r="R18" s="1422">
        <f t="shared" si="10"/>
        <v>0</v>
      </c>
      <c r="S18" s="1422"/>
      <c r="T18" s="1422"/>
      <c r="U18" s="1422">
        <f t="shared" si="0"/>
        <v>0</v>
      </c>
      <c r="V18" s="1422">
        <v>0</v>
      </c>
      <c r="W18" s="1422">
        <v>0</v>
      </c>
      <c r="X18" s="1422">
        <f t="shared" si="1"/>
        <v>0</v>
      </c>
      <c r="Y18" s="1423">
        <f t="shared" si="2"/>
        <v>0</v>
      </c>
      <c r="Z18" s="1424">
        <f t="shared" si="3"/>
        <v>0</v>
      </c>
      <c r="AA18" s="1425">
        <f t="shared" si="5"/>
        <v>0</v>
      </c>
      <c r="AB18" s="1426">
        <v>0</v>
      </c>
      <c r="AC18" s="1431"/>
    </row>
    <row r="19" spans="1:29" x14ac:dyDescent="0.2">
      <c r="A19" s="1416" t="s">
        <v>814</v>
      </c>
      <c r="B19" s="1417" t="s">
        <v>815</v>
      </c>
      <c r="C19" s="1430" t="s">
        <v>790</v>
      </c>
      <c r="D19" s="1419">
        <v>450</v>
      </c>
      <c r="E19" s="1420"/>
      <c r="F19" s="1420">
        <f t="shared" si="6"/>
        <v>450</v>
      </c>
      <c r="G19" s="1416"/>
      <c r="H19" s="1416"/>
      <c r="I19" s="1421">
        <f t="shared" si="7"/>
        <v>0</v>
      </c>
      <c r="J19" s="1419"/>
      <c r="K19" s="1420"/>
      <c r="L19" s="1420">
        <f t="shared" si="8"/>
        <v>0</v>
      </c>
      <c r="M19" s="1419"/>
      <c r="N19" s="1420">
        <v>450</v>
      </c>
      <c r="O19" s="1422">
        <f t="shared" si="9"/>
        <v>-450</v>
      </c>
      <c r="P19" s="1422"/>
      <c r="Q19" s="1422"/>
      <c r="R19" s="1422">
        <f t="shared" si="10"/>
        <v>0</v>
      </c>
      <c r="S19" s="1422"/>
      <c r="T19" s="1422"/>
      <c r="U19" s="1422">
        <f t="shared" si="0"/>
        <v>0</v>
      </c>
      <c r="V19" s="1422">
        <v>0</v>
      </c>
      <c r="W19" s="1422">
        <v>0</v>
      </c>
      <c r="X19" s="1422">
        <f t="shared" si="1"/>
        <v>0</v>
      </c>
      <c r="Y19" s="1423">
        <f t="shared" si="2"/>
        <v>450</v>
      </c>
      <c r="Z19" s="1424">
        <f t="shared" si="3"/>
        <v>450</v>
      </c>
      <c r="AA19" s="1425">
        <f t="shared" si="5"/>
        <v>0</v>
      </c>
      <c r="AB19" s="1426">
        <f>+AA19/Y19</f>
        <v>0</v>
      </c>
      <c r="AC19" s="1431"/>
    </row>
    <row r="20" spans="1:29" x14ac:dyDescent="0.2">
      <c r="A20" s="1416" t="s">
        <v>816</v>
      </c>
      <c r="B20" s="1417" t="s">
        <v>817</v>
      </c>
      <c r="C20" s="1430" t="s">
        <v>790</v>
      </c>
      <c r="D20" s="1419">
        <v>3150</v>
      </c>
      <c r="E20" s="1420"/>
      <c r="F20" s="1420">
        <f t="shared" si="6"/>
        <v>3150</v>
      </c>
      <c r="G20" s="1419"/>
      <c r="H20" s="1419"/>
      <c r="I20" s="1421">
        <f t="shared" si="7"/>
        <v>0</v>
      </c>
      <c r="J20" s="1416"/>
      <c r="K20" s="1421"/>
      <c r="L20" s="1420">
        <f t="shared" si="8"/>
        <v>0</v>
      </c>
      <c r="M20" s="1419"/>
      <c r="N20" s="1420">
        <v>3150</v>
      </c>
      <c r="O20" s="1422">
        <f t="shared" si="9"/>
        <v>-3150</v>
      </c>
      <c r="P20" s="1422"/>
      <c r="Q20" s="1422"/>
      <c r="R20" s="1422">
        <f t="shared" si="10"/>
        <v>0</v>
      </c>
      <c r="S20" s="1422"/>
      <c r="T20" s="1422"/>
      <c r="U20" s="1422">
        <f t="shared" si="0"/>
        <v>0</v>
      </c>
      <c r="V20" s="1422">
        <v>0</v>
      </c>
      <c r="W20" s="1422">
        <v>0</v>
      </c>
      <c r="X20" s="1422">
        <f t="shared" si="1"/>
        <v>0</v>
      </c>
      <c r="Y20" s="1423">
        <f t="shared" si="2"/>
        <v>3150</v>
      </c>
      <c r="Z20" s="1424">
        <f t="shared" si="3"/>
        <v>3150</v>
      </c>
      <c r="AA20" s="1425">
        <f t="shared" si="5"/>
        <v>0</v>
      </c>
      <c r="AB20" s="1426">
        <f>+AA20/Y20</f>
        <v>0</v>
      </c>
      <c r="AC20" s="1431"/>
    </row>
    <row r="21" spans="1:29" x14ac:dyDescent="0.2">
      <c r="A21" s="1416" t="s">
        <v>818</v>
      </c>
      <c r="B21" s="1417" t="s">
        <v>803</v>
      </c>
      <c r="C21" s="1430" t="s">
        <v>790</v>
      </c>
      <c r="D21" s="1419">
        <v>2250</v>
      </c>
      <c r="E21" s="1420"/>
      <c r="F21" s="1420">
        <f t="shared" si="6"/>
        <v>2250</v>
      </c>
      <c r="G21" s="1419"/>
      <c r="H21" s="1419"/>
      <c r="I21" s="1421">
        <f t="shared" si="7"/>
        <v>0</v>
      </c>
      <c r="J21" s="1416"/>
      <c r="K21" s="1421"/>
      <c r="L21" s="1420">
        <f t="shared" si="8"/>
        <v>0</v>
      </c>
      <c r="M21" s="1419"/>
      <c r="N21" s="1420"/>
      <c r="O21" s="1422">
        <f t="shared" si="9"/>
        <v>0</v>
      </c>
      <c r="P21" s="1422"/>
      <c r="Q21" s="1422">
        <v>2076.9699999999998</v>
      </c>
      <c r="R21" s="1422">
        <f t="shared" si="10"/>
        <v>-2076.9699999999998</v>
      </c>
      <c r="S21" s="1422"/>
      <c r="T21" s="1422"/>
      <c r="U21" s="1422">
        <f t="shared" si="0"/>
        <v>0</v>
      </c>
      <c r="V21" s="1422">
        <v>0</v>
      </c>
      <c r="W21" s="1422">
        <v>0</v>
      </c>
      <c r="X21" s="1422">
        <f t="shared" si="1"/>
        <v>0</v>
      </c>
      <c r="Y21" s="1423">
        <f t="shared" si="2"/>
        <v>2250</v>
      </c>
      <c r="Z21" s="1424">
        <f t="shared" si="3"/>
        <v>2076.9699999999998</v>
      </c>
      <c r="AA21" s="1425">
        <f t="shared" si="5"/>
        <v>173.0300000000002</v>
      </c>
      <c r="AB21" s="1426">
        <f>+AA21/Y21</f>
        <v>7.6902222222222316E-2</v>
      </c>
      <c r="AC21" s="1431" t="s">
        <v>800</v>
      </c>
    </row>
    <row r="22" spans="1:29" ht="24" x14ac:dyDescent="0.2">
      <c r="A22" s="1416" t="s">
        <v>819</v>
      </c>
      <c r="B22" s="1417" t="s">
        <v>369</v>
      </c>
      <c r="C22" s="1430" t="s">
        <v>790</v>
      </c>
      <c r="D22" s="1416"/>
      <c r="E22" s="1421">
        <v>11500</v>
      </c>
      <c r="F22" s="1420">
        <f t="shared" si="6"/>
        <v>-11500</v>
      </c>
      <c r="G22" s="1419">
        <v>860</v>
      </c>
      <c r="H22" s="1419"/>
      <c r="I22" s="1421">
        <f t="shared" si="7"/>
        <v>860</v>
      </c>
      <c r="J22" s="1416"/>
      <c r="K22" s="1421"/>
      <c r="L22" s="1420">
        <f t="shared" si="8"/>
        <v>0</v>
      </c>
      <c r="M22" s="1419">
        <v>860</v>
      </c>
      <c r="N22" s="1420"/>
      <c r="O22" s="1422">
        <f t="shared" si="9"/>
        <v>860</v>
      </c>
      <c r="P22" s="1422"/>
      <c r="Q22" s="1422"/>
      <c r="R22" s="1422">
        <f t="shared" si="10"/>
        <v>0</v>
      </c>
      <c r="S22" s="1422"/>
      <c r="T22" s="1422"/>
      <c r="U22" s="1422">
        <f t="shared" si="0"/>
        <v>0</v>
      </c>
      <c r="V22" s="1422">
        <v>0</v>
      </c>
      <c r="W22" s="1422">
        <v>0</v>
      </c>
      <c r="X22" s="1422">
        <f t="shared" si="1"/>
        <v>0</v>
      </c>
      <c r="Y22" s="1423">
        <f t="shared" si="2"/>
        <v>1720</v>
      </c>
      <c r="Z22" s="1424">
        <f t="shared" si="3"/>
        <v>11500</v>
      </c>
      <c r="AA22" s="1425">
        <f t="shared" si="5"/>
        <v>-9780</v>
      </c>
      <c r="AB22" s="1426">
        <f>+AA22/Y22</f>
        <v>-5.6860465116279073</v>
      </c>
      <c r="AC22" s="1427" t="s">
        <v>807</v>
      </c>
    </row>
    <row r="23" spans="1:29" ht="27.75" customHeight="1" x14ac:dyDescent="0.2">
      <c r="A23" s="2744" t="s">
        <v>820</v>
      </c>
      <c r="B23" s="2745"/>
      <c r="C23" s="1433"/>
      <c r="D23" s="1434"/>
      <c r="E23" s="1435"/>
      <c r="F23" s="1435"/>
      <c r="G23" s="1434"/>
      <c r="H23" s="1434"/>
      <c r="I23" s="1434"/>
      <c r="J23" s="1434"/>
      <c r="K23" s="1435"/>
      <c r="L23" s="1435"/>
      <c r="M23" s="1434"/>
      <c r="N23" s="1436"/>
      <c r="O23" s="1437"/>
      <c r="P23" s="1437"/>
      <c r="Q23" s="1437"/>
      <c r="R23" s="1437"/>
      <c r="S23" s="1437"/>
      <c r="T23" s="1437"/>
      <c r="U23" s="1422">
        <f t="shared" si="0"/>
        <v>0</v>
      </c>
      <c r="V23" s="1422">
        <v>0</v>
      </c>
      <c r="W23" s="1422">
        <v>0</v>
      </c>
      <c r="X23" s="1422">
        <f t="shared" si="1"/>
        <v>0</v>
      </c>
      <c r="Y23" s="1423">
        <f t="shared" si="2"/>
        <v>0</v>
      </c>
      <c r="Z23" s="1424">
        <f t="shared" si="3"/>
        <v>0</v>
      </c>
      <c r="AA23" s="1425">
        <f t="shared" si="5"/>
        <v>0</v>
      </c>
      <c r="AB23" s="1426">
        <v>0</v>
      </c>
      <c r="AC23" s="1431"/>
    </row>
    <row r="24" spans="1:29" ht="24" x14ac:dyDescent="0.2">
      <c r="A24" s="1416" t="s">
        <v>821</v>
      </c>
      <c r="B24" s="1417" t="s">
        <v>822</v>
      </c>
      <c r="C24" s="1433" t="s">
        <v>823</v>
      </c>
      <c r="D24" s="1419">
        <v>5000</v>
      </c>
      <c r="E24" s="1420"/>
      <c r="F24" s="1420">
        <f>+D24-E24</f>
        <v>5000</v>
      </c>
      <c r="G24" s="1416"/>
      <c r="H24" s="1416"/>
      <c r="I24" s="1421">
        <f>+G24-H24</f>
        <v>0</v>
      </c>
      <c r="J24" s="1419"/>
      <c r="K24" s="1420">
        <v>5003.24</v>
      </c>
      <c r="L24" s="1420">
        <f>+J24-K24</f>
        <v>-5003.24</v>
      </c>
      <c r="M24" s="1419"/>
      <c r="N24" s="1420">
        <v>0</v>
      </c>
      <c r="O24" s="1422">
        <f>+M24-N24</f>
        <v>0</v>
      </c>
      <c r="P24" s="1422"/>
      <c r="Q24" s="1422"/>
      <c r="R24" s="1422"/>
      <c r="S24" s="1438"/>
      <c r="T24" s="1438"/>
      <c r="U24" s="1422">
        <f t="shared" si="0"/>
        <v>0</v>
      </c>
      <c r="V24" s="1422">
        <v>0</v>
      </c>
      <c r="W24" s="1422">
        <v>0</v>
      </c>
      <c r="X24" s="1422">
        <f t="shared" si="1"/>
        <v>0</v>
      </c>
      <c r="Y24" s="1423">
        <f t="shared" si="2"/>
        <v>5000</v>
      </c>
      <c r="Z24" s="1424">
        <f t="shared" si="3"/>
        <v>5003.24</v>
      </c>
      <c r="AA24" s="1425">
        <f t="shared" si="5"/>
        <v>-3.2399999999997817</v>
      </c>
      <c r="AB24" s="1426">
        <f t="shared" ref="AB24:AB31" si="11">+AA24/Y24</f>
        <v>-6.4799999999995634E-4</v>
      </c>
      <c r="AC24" s="1431" t="s">
        <v>800</v>
      </c>
    </row>
    <row r="25" spans="1:29" x14ac:dyDescent="0.2">
      <c r="A25" s="1416" t="s">
        <v>824</v>
      </c>
      <c r="B25" s="1417" t="s">
        <v>825</v>
      </c>
      <c r="C25" s="1433" t="s">
        <v>823</v>
      </c>
      <c r="D25" s="1419">
        <v>18580</v>
      </c>
      <c r="E25" s="1420"/>
      <c r="F25" s="1420">
        <f>+D25-E25</f>
        <v>18580</v>
      </c>
      <c r="G25" s="1419">
        <v>18580</v>
      </c>
      <c r="H25" s="1419"/>
      <c r="I25" s="1421">
        <f>+G25-H25</f>
        <v>18580</v>
      </c>
      <c r="J25" s="1416"/>
      <c r="K25" s="1421">
        <v>37159.99</v>
      </c>
      <c r="L25" s="1420">
        <f>+J25-K25</f>
        <v>-37159.99</v>
      </c>
      <c r="M25" s="1419"/>
      <c r="N25" s="1420">
        <v>0</v>
      </c>
      <c r="O25" s="1422">
        <f>+M25-N25</f>
        <v>0</v>
      </c>
      <c r="P25" s="1422"/>
      <c r="Q25" s="1422"/>
      <c r="R25" s="1422"/>
      <c r="S25" s="1422"/>
      <c r="T25" s="1422"/>
      <c r="U25" s="1422">
        <f t="shared" si="0"/>
        <v>0</v>
      </c>
      <c r="V25" s="1422">
        <v>0</v>
      </c>
      <c r="W25" s="1422">
        <v>0</v>
      </c>
      <c r="X25" s="1422">
        <f t="shared" si="1"/>
        <v>0</v>
      </c>
      <c r="Y25" s="1423">
        <f t="shared" si="2"/>
        <v>37160</v>
      </c>
      <c r="Z25" s="1424">
        <f t="shared" si="3"/>
        <v>37159.99</v>
      </c>
      <c r="AA25" s="1425">
        <f t="shared" si="5"/>
        <v>1.0000000002037268E-2</v>
      </c>
      <c r="AB25" s="1426">
        <f t="shared" si="11"/>
        <v>2.6910656625503949E-7</v>
      </c>
      <c r="AC25" s="1431" t="s">
        <v>800</v>
      </c>
    </row>
    <row r="26" spans="1:29" ht="13.5" x14ac:dyDescent="0.2">
      <c r="A26" s="1439" t="s">
        <v>826</v>
      </c>
      <c r="B26" s="1429" t="s">
        <v>827</v>
      </c>
      <c r="C26" s="1433"/>
      <c r="D26" s="1419"/>
      <c r="E26" s="1420"/>
      <c r="F26" s="1420"/>
      <c r="G26" s="1419"/>
      <c r="H26" s="1419"/>
      <c r="I26" s="1421"/>
      <c r="J26" s="1416"/>
      <c r="K26" s="1421"/>
      <c r="L26" s="1420"/>
      <c r="M26" s="1419"/>
      <c r="N26" s="1420"/>
      <c r="O26" s="1422"/>
      <c r="P26" s="1422"/>
      <c r="Q26" s="1422"/>
      <c r="R26" s="1422"/>
      <c r="S26" s="1422">
        <v>4255</v>
      </c>
      <c r="T26" s="1422">
        <v>4253.91</v>
      </c>
      <c r="U26" s="1422">
        <f t="shared" si="0"/>
        <v>1.0900000000001455</v>
      </c>
      <c r="V26" s="1422">
        <v>0</v>
      </c>
      <c r="W26" s="1422">
        <v>0</v>
      </c>
      <c r="X26" s="1422">
        <f t="shared" si="1"/>
        <v>0</v>
      </c>
      <c r="Y26" s="1423">
        <f t="shared" si="2"/>
        <v>4255</v>
      </c>
      <c r="Z26" s="1424">
        <f t="shared" si="3"/>
        <v>4253.91</v>
      </c>
      <c r="AA26" s="1425">
        <f t="shared" si="5"/>
        <v>1.0900000000001455</v>
      </c>
      <c r="AB26" s="1426">
        <f t="shared" si="11"/>
        <v>2.5616921269098602E-4</v>
      </c>
      <c r="AC26" s="1431"/>
    </row>
    <row r="27" spans="1:29" x14ac:dyDescent="0.2">
      <c r="A27" s="1416" t="s">
        <v>826</v>
      </c>
      <c r="B27" s="1440" t="s">
        <v>828</v>
      </c>
      <c r="C27" s="1433" t="s">
        <v>823</v>
      </c>
      <c r="D27" s="1419"/>
      <c r="E27" s="1420">
        <v>2048.54</v>
      </c>
      <c r="F27" s="1420">
        <f t="shared" ref="F27:F37" si="12">+D27-E27</f>
        <v>-2048.54</v>
      </c>
      <c r="G27" s="1419"/>
      <c r="H27" s="1419"/>
      <c r="I27" s="1421">
        <f t="shared" ref="I27:I32" si="13">+G27-H27</f>
        <v>0</v>
      </c>
      <c r="J27" s="1419"/>
      <c r="K27" s="1420">
        <v>68800</v>
      </c>
      <c r="L27" s="1420">
        <f t="shared" ref="L27:L32" si="14">+J27-K27</f>
        <v>-68800</v>
      </c>
      <c r="M27" s="1419">
        <v>68800</v>
      </c>
      <c r="N27" s="1420">
        <v>0</v>
      </c>
      <c r="O27" s="1422">
        <f t="shared" ref="O27:O32" si="15">+M27-N27</f>
        <v>68800</v>
      </c>
      <c r="P27" s="1422"/>
      <c r="Q27" s="1422"/>
      <c r="R27" s="1422"/>
      <c r="S27" s="1441"/>
      <c r="T27" s="1441"/>
      <c r="U27" s="1422">
        <f t="shared" si="0"/>
        <v>0</v>
      </c>
      <c r="V27" s="1422">
        <v>0</v>
      </c>
      <c r="W27" s="1422">
        <v>0</v>
      </c>
      <c r="X27" s="1422">
        <f t="shared" si="1"/>
        <v>0</v>
      </c>
      <c r="Y27" s="1423">
        <f t="shared" si="2"/>
        <v>68800</v>
      </c>
      <c r="Z27" s="1424">
        <f t="shared" si="3"/>
        <v>70848.539999999994</v>
      </c>
      <c r="AA27" s="1425">
        <f t="shared" si="5"/>
        <v>-2048.5399999999936</v>
      </c>
      <c r="AB27" s="1426">
        <f t="shared" si="11"/>
        <v>-2.9775290697674324E-2</v>
      </c>
      <c r="AC27" s="1431" t="s">
        <v>800</v>
      </c>
    </row>
    <row r="28" spans="1:29" x14ac:dyDescent="0.2">
      <c r="A28" s="1416" t="s">
        <v>829</v>
      </c>
      <c r="B28" s="1417" t="s">
        <v>803</v>
      </c>
      <c r="C28" s="1433" t="s">
        <v>823</v>
      </c>
      <c r="D28" s="1419">
        <v>2250</v>
      </c>
      <c r="E28" s="1420"/>
      <c r="F28" s="1420">
        <f t="shared" si="12"/>
        <v>2250</v>
      </c>
      <c r="G28" s="1419"/>
      <c r="H28" s="1419"/>
      <c r="I28" s="1421">
        <f t="shared" si="13"/>
        <v>0</v>
      </c>
      <c r="J28" s="1416"/>
      <c r="K28" s="1421"/>
      <c r="L28" s="1420">
        <f t="shared" si="14"/>
        <v>0</v>
      </c>
      <c r="M28" s="1419"/>
      <c r="N28" s="1420">
        <v>2250</v>
      </c>
      <c r="O28" s="1422">
        <f t="shared" si="15"/>
        <v>-2250</v>
      </c>
      <c r="P28" s="1422"/>
      <c r="Q28" s="1422"/>
      <c r="R28" s="1422"/>
      <c r="S28" s="1422"/>
      <c r="T28" s="1422"/>
      <c r="U28" s="1422">
        <f t="shared" si="0"/>
        <v>0</v>
      </c>
      <c r="V28" s="1422">
        <v>0</v>
      </c>
      <c r="W28" s="1422">
        <v>0</v>
      </c>
      <c r="X28" s="1422">
        <f t="shared" si="1"/>
        <v>0</v>
      </c>
      <c r="Y28" s="1423">
        <f t="shared" si="2"/>
        <v>2250</v>
      </c>
      <c r="Z28" s="1424">
        <f t="shared" si="3"/>
        <v>2250</v>
      </c>
      <c r="AA28" s="1425">
        <f t="shared" si="5"/>
        <v>0</v>
      </c>
      <c r="AB28" s="1426">
        <f t="shared" si="11"/>
        <v>0</v>
      </c>
      <c r="AC28" s="1431" t="s">
        <v>830</v>
      </c>
    </row>
    <row r="29" spans="1:29" x14ac:dyDescent="0.2">
      <c r="A29" s="1416" t="s">
        <v>831</v>
      </c>
      <c r="B29" s="1417" t="s">
        <v>832</v>
      </c>
      <c r="C29" s="1433" t="s">
        <v>823</v>
      </c>
      <c r="D29" s="1419">
        <v>5660</v>
      </c>
      <c r="E29" s="1420"/>
      <c r="F29" s="1420">
        <f t="shared" si="12"/>
        <v>5660</v>
      </c>
      <c r="G29" s="1416"/>
      <c r="H29" s="1416"/>
      <c r="I29" s="1421">
        <f t="shared" si="13"/>
        <v>0</v>
      </c>
      <c r="J29" s="1419"/>
      <c r="K29" s="1420">
        <v>5659.99</v>
      </c>
      <c r="L29" s="1420">
        <f t="shared" si="14"/>
        <v>-5659.99</v>
      </c>
      <c r="M29" s="1419"/>
      <c r="N29" s="1420">
        <v>0</v>
      </c>
      <c r="O29" s="1422">
        <f t="shared" si="15"/>
        <v>0</v>
      </c>
      <c r="P29" s="1422"/>
      <c r="Q29" s="1422"/>
      <c r="R29" s="1422"/>
      <c r="S29" s="1422">
        <v>66978</v>
      </c>
      <c r="T29" s="1422">
        <v>66977.960000000006</v>
      </c>
      <c r="U29" s="1422">
        <f t="shared" si="0"/>
        <v>3.9999999993597157E-2</v>
      </c>
      <c r="V29" s="1422">
        <v>0</v>
      </c>
      <c r="W29" s="1422">
        <v>0</v>
      </c>
      <c r="X29" s="1422">
        <f t="shared" si="1"/>
        <v>0</v>
      </c>
      <c r="Y29" s="1423">
        <f t="shared" si="2"/>
        <v>72638</v>
      </c>
      <c r="Z29" s="1424">
        <f t="shared" si="3"/>
        <v>72637.950000000012</v>
      </c>
      <c r="AA29" s="1425">
        <f t="shared" si="5"/>
        <v>4.9999999988358468E-2</v>
      </c>
      <c r="AB29" s="1426">
        <f t="shared" si="11"/>
        <v>6.8834494325777787E-7</v>
      </c>
      <c r="AC29" s="1431" t="s">
        <v>833</v>
      </c>
    </row>
    <row r="30" spans="1:29" ht="24" x14ac:dyDescent="0.2">
      <c r="A30" s="1416" t="s">
        <v>834</v>
      </c>
      <c r="B30" s="1417" t="s">
        <v>835</v>
      </c>
      <c r="C30" s="1433" t="s">
        <v>823</v>
      </c>
      <c r="D30" s="1419"/>
      <c r="E30" s="1442"/>
      <c r="F30" s="1420">
        <f t="shared" si="12"/>
        <v>0</v>
      </c>
      <c r="G30" s="1419"/>
      <c r="H30" s="1419"/>
      <c r="I30" s="1421">
        <f t="shared" si="13"/>
        <v>0</v>
      </c>
      <c r="J30" s="1419">
        <v>6960</v>
      </c>
      <c r="K30" s="1421">
        <v>6956.69</v>
      </c>
      <c r="L30" s="1420">
        <f t="shared" si="14"/>
        <v>3.3100000000004002</v>
      </c>
      <c r="M30" s="1419"/>
      <c r="N30" s="1420">
        <v>0</v>
      </c>
      <c r="O30" s="1422">
        <f t="shared" si="15"/>
        <v>0</v>
      </c>
      <c r="P30" s="1422"/>
      <c r="Q30" s="1422"/>
      <c r="R30" s="1422"/>
      <c r="S30" s="1422"/>
      <c r="T30" s="1422"/>
      <c r="U30" s="1422">
        <f t="shared" si="0"/>
        <v>0</v>
      </c>
      <c r="V30" s="1422">
        <v>0</v>
      </c>
      <c r="W30" s="1422">
        <v>0</v>
      </c>
      <c r="X30" s="1422">
        <f t="shared" si="1"/>
        <v>0</v>
      </c>
      <c r="Y30" s="1423">
        <f t="shared" si="2"/>
        <v>6960</v>
      </c>
      <c r="Z30" s="1424">
        <f t="shared" si="3"/>
        <v>6956.69</v>
      </c>
      <c r="AA30" s="1425">
        <f t="shared" si="5"/>
        <v>3.3100000000004002</v>
      </c>
      <c r="AB30" s="1426">
        <f t="shared" si="11"/>
        <v>4.7557471264373567E-4</v>
      </c>
      <c r="AC30" s="1431" t="s">
        <v>833</v>
      </c>
    </row>
    <row r="31" spans="1:29" x14ac:dyDescent="0.2">
      <c r="A31" s="1416" t="s">
        <v>836</v>
      </c>
      <c r="B31" s="1417" t="s">
        <v>803</v>
      </c>
      <c r="C31" s="1433" t="s">
        <v>823</v>
      </c>
      <c r="D31" s="1419">
        <v>2250</v>
      </c>
      <c r="E31" s="1420"/>
      <c r="F31" s="1420">
        <f t="shared" si="12"/>
        <v>2250</v>
      </c>
      <c r="G31" s="1419"/>
      <c r="H31" s="1419"/>
      <c r="I31" s="1421">
        <f t="shared" si="13"/>
        <v>0</v>
      </c>
      <c r="J31" s="1416"/>
      <c r="K31" s="1421"/>
      <c r="L31" s="1420">
        <f t="shared" si="14"/>
        <v>0</v>
      </c>
      <c r="M31" s="1419"/>
      <c r="N31" s="1420">
        <v>2250</v>
      </c>
      <c r="O31" s="1422">
        <f t="shared" si="15"/>
        <v>-2250</v>
      </c>
      <c r="P31" s="1422"/>
      <c r="Q31" s="1422"/>
      <c r="R31" s="1422"/>
      <c r="S31" s="1422"/>
      <c r="T31" s="1422"/>
      <c r="U31" s="1422">
        <f t="shared" si="0"/>
        <v>0</v>
      </c>
      <c r="V31" s="1422">
        <v>0</v>
      </c>
      <c r="W31" s="1422">
        <v>0</v>
      </c>
      <c r="X31" s="1422">
        <f t="shared" si="1"/>
        <v>0</v>
      </c>
      <c r="Y31" s="1423">
        <f t="shared" si="2"/>
        <v>2250</v>
      </c>
      <c r="Z31" s="1424">
        <f t="shared" si="3"/>
        <v>2250</v>
      </c>
      <c r="AA31" s="1425">
        <f t="shared" si="5"/>
        <v>0</v>
      </c>
      <c r="AB31" s="1426">
        <f t="shared" si="11"/>
        <v>0</v>
      </c>
      <c r="AC31" s="1431" t="s">
        <v>830</v>
      </c>
    </row>
    <row r="32" spans="1:29" ht="24" x14ac:dyDescent="0.2">
      <c r="A32" s="1443" t="s">
        <v>837</v>
      </c>
      <c r="B32" s="1444" t="s">
        <v>838</v>
      </c>
      <c r="C32" s="1433" t="s">
        <v>823</v>
      </c>
      <c r="D32" s="1445"/>
      <c r="E32" s="1446">
        <v>8598.33</v>
      </c>
      <c r="F32" s="1420">
        <f t="shared" si="12"/>
        <v>-8598.33</v>
      </c>
      <c r="G32" s="1445"/>
      <c r="H32" s="1445"/>
      <c r="I32" s="1421">
        <f t="shared" si="13"/>
        <v>0</v>
      </c>
      <c r="J32" s="1443"/>
      <c r="K32" s="1447"/>
      <c r="L32" s="1420">
        <f t="shared" si="14"/>
        <v>0</v>
      </c>
      <c r="M32" s="1445"/>
      <c r="N32" s="1448"/>
      <c r="O32" s="1422">
        <f t="shared" si="15"/>
        <v>0</v>
      </c>
      <c r="P32" s="1422"/>
      <c r="Q32" s="1422"/>
      <c r="R32" s="1422"/>
      <c r="S32" s="1422"/>
      <c r="T32" s="1422"/>
      <c r="U32" s="1422">
        <f t="shared" si="0"/>
        <v>0</v>
      </c>
      <c r="V32" s="1422">
        <v>0</v>
      </c>
      <c r="W32" s="1422">
        <v>0</v>
      </c>
      <c r="X32" s="1422">
        <f t="shared" si="1"/>
        <v>0</v>
      </c>
      <c r="Y32" s="1423">
        <f t="shared" si="2"/>
        <v>0</v>
      </c>
      <c r="Z32" s="1424">
        <f t="shared" si="3"/>
        <v>8598.33</v>
      </c>
      <c r="AA32" s="1425">
        <f t="shared" si="5"/>
        <v>-8598.33</v>
      </c>
      <c r="AB32" s="1426">
        <v>0</v>
      </c>
      <c r="AC32" s="1427" t="s">
        <v>807</v>
      </c>
    </row>
    <row r="33" spans="1:29" ht="23.1" customHeight="1" x14ac:dyDescent="0.2">
      <c r="A33" s="2744" t="s">
        <v>839</v>
      </c>
      <c r="B33" s="2745"/>
      <c r="C33" s="1449"/>
      <c r="D33" s="1450"/>
      <c r="E33" s="1451"/>
      <c r="F33" s="1420">
        <f t="shared" si="12"/>
        <v>0</v>
      </c>
      <c r="G33" s="1450"/>
      <c r="H33" s="1450"/>
      <c r="I33" s="1416"/>
      <c r="J33" s="1450"/>
      <c r="K33" s="1450"/>
      <c r="L33" s="1420"/>
      <c r="M33" s="1450"/>
      <c r="N33" s="1452"/>
      <c r="O33" s="1422"/>
      <c r="P33" s="1422"/>
      <c r="Q33" s="1422"/>
      <c r="R33" s="1422"/>
      <c r="S33" s="1422"/>
      <c r="T33" s="1422"/>
      <c r="U33" s="1422">
        <f t="shared" si="0"/>
        <v>0</v>
      </c>
      <c r="V33" s="1422">
        <v>0</v>
      </c>
      <c r="W33" s="1422">
        <v>0</v>
      </c>
      <c r="X33" s="1422">
        <f t="shared" si="1"/>
        <v>0</v>
      </c>
      <c r="Y33" s="1423">
        <f t="shared" si="2"/>
        <v>0</v>
      </c>
      <c r="Z33" s="1424">
        <f t="shared" si="3"/>
        <v>0</v>
      </c>
      <c r="AA33" s="1425">
        <f t="shared" si="5"/>
        <v>0</v>
      </c>
      <c r="AB33" s="1426">
        <v>0</v>
      </c>
      <c r="AC33" s="1431"/>
    </row>
    <row r="34" spans="1:29" ht="24" x14ac:dyDescent="0.2">
      <c r="A34" s="1453" t="s">
        <v>840</v>
      </c>
      <c r="B34" s="1454" t="s">
        <v>841</v>
      </c>
      <c r="C34" s="1449" t="s">
        <v>842</v>
      </c>
      <c r="D34" s="1455"/>
      <c r="E34" s="1456">
        <v>4535.1899999999996</v>
      </c>
      <c r="F34" s="1420">
        <f t="shared" si="12"/>
        <v>-4535.1899999999996</v>
      </c>
      <c r="G34" s="1455">
        <v>3450</v>
      </c>
      <c r="H34" s="1455">
        <v>345.81</v>
      </c>
      <c r="I34" s="1421">
        <f>+G34-H34</f>
        <v>3104.19</v>
      </c>
      <c r="J34" s="1455"/>
      <c r="K34" s="1456"/>
      <c r="L34" s="1420">
        <f>+J34-K34</f>
        <v>0</v>
      </c>
      <c r="M34" s="1455"/>
      <c r="N34" s="1420">
        <v>3450</v>
      </c>
      <c r="O34" s="1422">
        <f>+M34-N34</f>
        <v>-3450</v>
      </c>
      <c r="P34" s="1422">
        <v>1500</v>
      </c>
      <c r="Q34" s="1422"/>
      <c r="R34" s="1422">
        <f>+P34-Q34</f>
        <v>1500</v>
      </c>
      <c r="S34" s="1422">
        <v>4790</v>
      </c>
      <c r="T34" s="1422"/>
      <c r="U34" s="1422">
        <f t="shared" si="0"/>
        <v>4790</v>
      </c>
      <c r="V34" s="1422">
        <v>0</v>
      </c>
      <c r="W34" s="1422">
        <v>0</v>
      </c>
      <c r="X34" s="1422">
        <f t="shared" si="1"/>
        <v>0</v>
      </c>
      <c r="Y34" s="1423">
        <f t="shared" si="2"/>
        <v>9740</v>
      </c>
      <c r="Z34" s="1424">
        <f t="shared" si="3"/>
        <v>8331</v>
      </c>
      <c r="AA34" s="1425">
        <f t="shared" si="5"/>
        <v>1409</v>
      </c>
      <c r="AB34" s="1426">
        <f>+AA34/Y34</f>
        <v>0.14466119096509239</v>
      </c>
      <c r="AC34" s="1427" t="s">
        <v>807</v>
      </c>
    </row>
    <row r="35" spans="1:29" x14ac:dyDescent="0.2">
      <c r="A35" s="1416" t="s">
        <v>843</v>
      </c>
      <c r="B35" s="1457" t="s">
        <v>844</v>
      </c>
      <c r="C35" s="1449" t="s">
        <v>842</v>
      </c>
      <c r="D35" s="1419">
        <v>5000</v>
      </c>
      <c r="E35" s="1420"/>
      <c r="F35" s="1420">
        <f t="shared" si="12"/>
        <v>5000</v>
      </c>
      <c r="G35" s="1419"/>
      <c r="H35" s="1419"/>
      <c r="I35" s="1421">
        <f>+G35-H35</f>
        <v>0</v>
      </c>
      <c r="J35" s="1416"/>
      <c r="K35" s="1421">
        <v>3438.94</v>
      </c>
      <c r="L35" s="1420">
        <f>+J35-K35</f>
        <v>-3438.94</v>
      </c>
      <c r="M35" s="1419"/>
      <c r="N35" s="1420">
        <v>0</v>
      </c>
      <c r="O35" s="1422">
        <f>+M35-N35</f>
        <v>0</v>
      </c>
      <c r="P35" s="1422"/>
      <c r="Q35" s="1422"/>
      <c r="R35" s="1422">
        <f>+P35-Q35</f>
        <v>0</v>
      </c>
      <c r="S35" s="1422">
        <v>5000</v>
      </c>
      <c r="T35" s="1422">
        <f>48.95+1091.03</f>
        <v>1139.98</v>
      </c>
      <c r="U35" s="1422">
        <f t="shared" si="0"/>
        <v>3860.02</v>
      </c>
      <c r="V35" s="1422">
        <v>0</v>
      </c>
      <c r="W35" s="1422">
        <v>0</v>
      </c>
      <c r="X35" s="1422">
        <f t="shared" si="1"/>
        <v>0</v>
      </c>
      <c r="Y35" s="1423">
        <f t="shared" si="2"/>
        <v>10000</v>
      </c>
      <c r="Z35" s="1424">
        <f t="shared" si="3"/>
        <v>4578.92</v>
      </c>
      <c r="AA35" s="1425">
        <f t="shared" si="5"/>
        <v>5421.08</v>
      </c>
      <c r="AB35" s="1426">
        <f>+AA35/Y35</f>
        <v>0.54210800000000003</v>
      </c>
      <c r="AC35" s="1431" t="s">
        <v>845</v>
      </c>
    </row>
    <row r="36" spans="1:29" x14ac:dyDescent="0.2">
      <c r="A36" s="1416" t="s">
        <v>846</v>
      </c>
      <c r="B36" s="1417" t="s">
        <v>847</v>
      </c>
      <c r="C36" s="1449" t="s">
        <v>842</v>
      </c>
      <c r="D36" s="1419">
        <v>3610</v>
      </c>
      <c r="E36" s="1420"/>
      <c r="F36" s="1420">
        <f t="shared" si="12"/>
        <v>3610</v>
      </c>
      <c r="G36" s="1416"/>
      <c r="H36" s="1416"/>
      <c r="I36" s="1421">
        <f>+G36-H36</f>
        <v>0</v>
      </c>
      <c r="J36" s="1419"/>
      <c r="K36" s="1420">
        <v>3487.38</v>
      </c>
      <c r="L36" s="1420">
        <f>+J36-K36</f>
        <v>-3487.38</v>
      </c>
      <c r="M36" s="1419"/>
      <c r="N36" s="1420">
        <v>0</v>
      </c>
      <c r="O36" s="1422">
        <f>+M36-N36</f>
        <v>0</v>
      </c>
      <c r="P36" s="1422"/>
      <c r="Q36" s="1422"/>
      <c r="R36" s="1422">
        <f>+P36-Q36</f>
        <v>0</v>
      </c>
      <c r="S36" s="1422"/>
      <c r="T36" s="1422"/>
      <c r="U36" s="1422">
        <f t="shared" si="0"/>
        <v>0</v>
      </c>
      <c r="V36" s="1422">
        <v>0</v>
      </c>
      <c r="W36" s="1422">
        <v>0</v>
      </c>
      <c r="X36" s="1422">
        <f t="shared" si="1"/>
        <v>0</v>
      </c>
      <c r="Y36" s="1423">
        <f t="shared" si="2"/>
        <v>3610</v>
      </c>
      <c r="Z36" s="1424">
        <f t="shared" si="3"/>
        <v>3487.38</v>
      </c>
      <c r="AA36" s="1425">
        <f t="shared" si="5"/>
        <v>122.61999999999989</v>
      </c>
      <c r="AB36" s="1426">
        <f>+AA36/Y36</f>
        <v>3.3966759002770054E-2</v>
      </c>
      <c r="AC36" s="1431" t="s">
        <v>848</v>
      </c>
    </row>
    <row r="37" spans="1:29" ht="24" x14ac:dyDescent="0.2">
      <c r="A37" s="1416" t="s">
        <v>849</v>
      </c>
      <c r="B37" s="1417" t="s">
        <v>850</v>
      </c>
      <c r="C37" s="1449" t="s">
        <v>842</v>
      </c>
      <c r="D37" s="1418"/>
      <c r="E37" s="1421">
        <v>7993.05</v>
      </c>
      <c r="F37" s="1420">
        <f t="shared" si="12"/>
        <v>-7993.05</v>
      </c>
      <c r="G37" s="1419">
        <v>2225</v>
      </c>
      <c r="H37" s="1419"/>
      <c r="I37" s="1421">
        <f>+G37-H37</f>
        <v>2225</v>
      </c>
      <c r="J37" s="1419"/>
      <c r="K37" s="1420"/>
      <c r="L37" s="1420">
        <f>+J37-K37</f>
        <v>0</v>
      </c>
      <c r="M37" s="1416"/>
      <c r="N37" s="1421">
        <v>2225</v>
      </c>
      <c r="O37" s="1422">
        <f>+M37-N37</f>
        <v>-2225</v>
      </c>
      <c r="P37" s="1422">
        <v>6340</v>
      </c>
      <c r="Q37" s="1422"/>
      <c r="R37" s="1422">
        <f>+P37-Q37</f>
        <v>6340</v>
      </c>
      <c r="S37" s="1422"/>
      <c r="T37" s="1422"/>
      <c r="U37" s="1422">
        <f t="shared" si="0"/>
        <v>0</v>
      </c>
      <c r="V37" s="1422">
        <v>0</v>
      </c>
      <c r="W37" s="1422">
        <v>0</v>
      </c>
      <c r="X37" s="1422">
        <f t="shared" ref="X37:X68" si="16">+V37-W37</f>
        <v>0</v>
      </c>
      <c r="Y37" s="1423">
        <f t="shared" ref="Y37:Y68" si="17">+J37+G37+D37+M37+P37+S37+V37</f>
        <v>8565</v>
      </c>
      <c r="Z37" s="1424">
        <f t="shared" ref="Z37:Z68" si="18">+N37+K37+H37+E37+Q37+T37+W37</f>
        <v>10218.049999999999</v>
      </c>
      <c r="AA37" s="1425">
        <f t="shared" si="5"/>
        <v>-1653.0499999999993</v>
      </c>
      <c r="AB37" s="1426">
        <f>+AA37/Y37</f>
        <v>-0.19300058377116161</v>
      </c>
      <c r="AC37" s="1427" t="s">
        <v>807</v>
      </c>
    </row>
    <row r="38" spans="1:29" x14ac:dyDescent="0.2">
      <c r="A38" s="1458"/>
      <c r="B38" s="1459" t="s">
        <v>851</v>
      </c>
      <c r="C38" s="1449"/>
      <c r="D38" s="1418"/>
      <c r="E38" s="1421"/>
      <c r="F38" s="1420"/>
      <c r="G38" s="1419"/>
      <c r="H38" s="1419"/>
      <c r="I38" s="1421"/>
      <c r="J38" s="1419"/>
      <c r="K38" s="1420"/>
      <c r="L38" s="1420"/>
      <c r="M38" s="1416"/>
      <c r="N38" s="1421"/>
      <c r="O38" s="1422"/>
      <c r="P38" s="1422"/>
      <c r="Q38" s="1422"/>
      <c r="R38" s="1422"/>
      <c r="S38" s="1422"/>
      <c r="T38" s="1422"/>
      <c r="U38" s="1422"/>
      <c r="V38" s="1422">
        <v>6340</v>
      </c>
      <c r="W38" s="1422">
        <v>0</v>
      </c>
      <c r="X38" s="1422">
        <f t="shared" si="16"/>
        <v>6340</v>
      </c>
      <c r="Y38" s="1423">
        <f t="shared" si="17"/>
        <v>6340</v>
      </c>
      <c r="Z38" s="1424">
        <f t="shared" si="18"/>
        <v>0</v>
      </c>
      <c r="AA38" s="1425">
        <f t="shared" si="5"/>
        <v>6340</v>
      </c>
      <c r="AB38" s="1426"/>
      <c r="AC38" s="1427"/>
    </row>
    <row r="39" spans="1:29" ht="12.6" customHeight="1" x14ac:dyDescent="0.2">
      <c r="A39" s="2744" t="s">
        <v>852</v>
      </c>
      <c r="B39" s="2745"/>
      <c r="C39" s="1416"/>
      <c r="D39" s="1434"/>
      <c r="E39" s="1435"/>
      <c r="F39" s="1420"/>
      <c r="G39" s="1434"/>
      <c r="H39" s="1434"/>
      <c r="I39" s="1416"/>
      <c r="J39" s="1434"/>
      <c r="K39" s="1435"/>
      <c r="L39" s="1420"/>
      <c r="M39" s="1434"/>
      <c r="N39" s="1435"/>
      <c r="O39" s="1422"/>
      <c r="P39" s="1422"/>
      <c r="Q39" s="1422"/>
      <c r="R39" s="1422"/>
      <c r="S39" s="1422"/>
      <c r="T39" s="1422"/>
      <c r="U39" s="1422">
        <f t="shared" ref="U39:U64" si="19">+S39-T39</f>
        <v>0</v>
      </c>
      <c r="V39" s="1422"/>
      <c r="W39" s="1422">
        <v>0</v>
      </c>
      <c r="X39" s="1422">
        <f t="shared" si="16"/>
        <v>0</v>
      </c>
      <c r="Y39" s="1423">
        <f t="shared" si="17"/>
        <v>0</v>
      </c>
      <c r="Z39" s="1424">
        <f t="shared" si="18"/>
        <v>0</v>
      </c>
      <c r="AA39" s="1425">
        <f t="shared" si="5"/>
        <v>0</v>
      </c>
      <c r="AB39" s="1426">
        <v>0</v>
      </c>
      <c r="AC39" s="1431"/>
    </row>
    <row r="40" spans="1:29" x14ac:dyDescent="0.2">
      <c r="A40" s="1416" t="s">
        <v>853</v>
      </c>
      <c r="B40" s="1440" t="s">
        <v>854</v>
      </c>
      <c r="C40" s="1416" t="s">
        <v>855</v>
      </c>
      <c r="D40" s="1419"/>
      <c r="E40" s="1420">
        <v>153.56</v>
      </c>
      <c r="F40" s="1420">
        <f>+D40-E40</f>
        <v>-153.56</v>
      </c>
      <c r="G40" s="1419"/>
      <c r="H40" s="1419">
        <v>144.77000000000001</v>
      </c>
      <c r="I40" s="1421">
        <f>+G40-H40</f>
        <v>-144.77000000000001</v>
      </c>
      <c r="J40" s="1419">
        <v>6780</v>
      </c>
      <c r="K40" s="1420">
        <v>5283.74</v>
      </c>
      <c r="L40" s="1420">
        <f>+J40-K40</f>
        <v>1496.2600000000002</v>
      </c>
      <c r="M40" s="1419"/>
      <c r="N40" s="1420">
        <v>1824.4223363286264</v>
      </c>
      <c r="O40" s="1422">
        <f>+M40-N40</f>
        <v>-1824.4223363286264</v>
      </c>
      <c r="P40" s="1422"/>
      <c r="Q40" s="1422"/>
      <c r="R40" s="1422"/>
      <c r="S40" s="1422">
        <v>7389</v>
      </c>
      <c r="T40" s="1422">
        <v>7493.94</v>
      </c>
      <c r="U40" s="1422">
        <f t="shared" si="19"/>
        <v>-104.9399999999996</v>
      </c>
      <c r="V40" s="1422">
        <v>7389</v>
      </c>
      <c r="W40" s="1422">
        <v>0</v>
      </c>
      <c r="X40" s="1422">
        <f t="shared" si="16"/>
        <v>7389</v>
      </c>
      <c r="Y40" s="1423">
        <f t="shared" si="17"/>
        <v>21558</v>
      </c>
      <c r="Z40" s="1424">
        <f t="shared" si="18"/>
        <v>14900.432336328628</v>
      </c>
      <c r="AA40" s="1425">
        <f t="shared" si="5"/>
        <v>6657.5676636713724</v>
      </c>
      <c r="AB40" s="1426">
        <f>+AA40/Y40</f>
        <v>0.30882121085774988</v>
      </c>
      <c r="AC40" s="1431" t="s">
        <v>1072</v>
      </c>
    </row>
    <row r="41" spans="1:29" ht="24" x14ac:dyDescent="0.2">
      <c r="A41" s="1416" t="s">
        <v>856</v>
      </c>
      <c r="B41" s="1440" t="s">
        <v>857</v>
      </c>
      <c r="C41" s="1416" t="s">
        <v>855</v>
      </c>
      <c r="D41" s="1419">
        <v>474</v>
      </c>
      <c r="E41" s="1420">
        <v>1247.73</v>
      </c>
      <c r="F41" s="1420">
        <f>+D41-E41</f>
        <v>-773.73</v>
      </c>
      <c r="G41" s="1419">
        <v>474</v>
      </c>
      <c r="H41" s="1419">
        <v>1554.76</v>
      </c>
      <c r="I41" s="1421">
        <f>+G41-H41</f>
        <v>-1080.76</v>
      </c>
      <c r="J41" s="1419">
        <v>474</v>
      </c>
      <c r="K41" s="1420">
        <v>966.04</v>
      </c>
      <c r="L41" s="1420">
        <f>+J41-K41</f>
        <v>-492.03999999999996</v>
      </c>
      <c r="M41" s="1419">
        <v>474</v>
      </c>
      <c r="N41" s="1420">
        <v>328.00599058622163</v>
      </c>
      <c r="O41" s="1422">
        <f>+M41-N41</f>
        <v>145.99400941377837</v>
      </c>
      <c r="P41" s="1422">
        <v>474</v>
      </c>
      <c r="Q41" s="1422">
        <v>652.4</v>
      </c>
      <c r="R41" s="1422">
        <f>+P41-Q41</f>
        <v>-178.39999999999998</v>
      </c>
      <c r="S41" s="1422">
        <v>474</v>
      </c>
      <c r="T41" s="1422">
        <f>183.84+429.12</f>
        <v>612.96</v>
      </c>
      <c r="U41" s="1422">
        <f t="shared" si="19"/>
        <v>-138.96000000000004</v>
      </c>
      <c r="V41" s="1422">
        <v>474</v>
      </c>
      <c r="W41" s="1422">
        <v>848.68856072294477</v>
      </c>
      <c r="X41" s="1422">
        <f t="shared" si="16"/>
        <v>-374.68856072294477</v>
      </c>
      <c r="Y41" s="1423">
        <f t="shared" si="17"/>
        <v>3318</v>
      </c>
      <c r="Z41" s="1424">
        <f t="shared" si="18"/>
        <v>6210.5845513091672</v>
      </c>
      <c r="AA41" s="1425">
        <f t="shared" si="5"/>
        <v>-2892.5845513091672</v>
      </c>
      <c r="AB41" s="1426">
        <f>+AA41/Y41</f>
        <v>-0.87178557905640963</v>
      </c>
      <c r="AC41" s="1427" t="s">
        <v>807</v>
      </c>
    </row>
    <row r="42" spans="1:29" x14ac:dyDescent="0.2">
      <c r="A42" s="1416" t="s">
        <v>858</v>
      </c>
      <c r="B42" s="1417" t="s">
        <v>859</v>
      </c>
      <c r="C42" s="1416" t="s">
        <v>855</v>
      </c>
      <c r="D42" s="1419"/>
      <c r="E42" s="1420"/>
      <c r="F42" s="1420">
        <f>+D42-E42</f>
        <v>0</v>
      </c>
      <c r="G42" s="1419"/>
      <c r="H42" s="1419"/>
      <c r="I42" s="1421">
        <f>+G42-H42</f>
        <v>0</v>
      </c>
      <c r="J42" s="1419">
        <v>8680</v>
      </c>
      <c r="K42" s="1420"/>
      <c r="L42" s="1420">
        <f>+J42-K42</f>
        <v>8680</v>
      </c>
      <c r="M42" s="1419"/>
      <c r="N42" s="1420">
        <v>8680</v>
      </c>
      <c r="O42" s="1422">
        <f>+M42-N42</f>
        <v>-8680</v>
      </c>
      <c r="P42" s="1422"/>
      <c r="Q42" s="1422"/>
      <c r="R42" s="1422">
        <f>+P42-Q42</f>
        <v>0</v>
      </c>
      <c r="S42" s="1422"/>
      <c r="T42" s="1422"/>
      <c r="U42" s="1422">
        <f t="shared" si="19"/>
        <v>0</v>
      </c>
      <c r="V42" s="1422">
        <v>0</v>
      </c>
      <c r="W42" s="1422">
        <v>0</v>
      </c>
      <c r="X42" s="1422">
        <f t="shared" si="16"/>
        <v>0</v>
      </c>
      <c r="Y42" s="1423">
        <f t="shared" si="17"/>
        <v>8680</v>
      </c>
      <c r="Z42" s="1424">
        <f t="shared" si="18"/>
        <v>8680</v>
      </c>
      <c r="AA42" s="1425">
        <f t="shared" si="5"/>
        <v>0</v>
      </c>
      <c r="AB42" s="1426">
        <f>+AA42/Y42</f>
        <v>0</v>
      </c>
      <c r="AC42" s="1431"/>
    </row>
    <row r="43" spans="1:29" ht="24" x14ac:dyDescent="0.2">
      <c r="A43" s="1416" t="s">
        <v>856</v>
      </c>
      <c r="B43" s="1417" t="s">
        <v>860</v>
      </c>
      <c r="C43" s="1416" t="s">
        <v>855</v>
      </c>
      <c r="D43" s="1419"/>
      <c r="E43" s="1420">
        <v>1240.42</v>
      </c>
      <c r="F43" s="1420">
        <f>+D43-E43</f>
        <v>-1240.42</v>
      </c>
      <c r="G43" s="1419"/>
      <c r="H43" s="1419"/>
      <c r="I43" s="1421">
        <f>+G43-H43</f>
        <v>0</v>
      </c>
      <c r="J43" s="1419"/>
      <c r="K43" s="1420"/>
      <c r="L43" s="1420">
        <f>+J43-K43</f>
        <v>0</v>
      </c>
      <c r="M43" s="1419"/>
      <c r="N43" s="1448"/>
      <c r="O43" s="1422">
        <f>+M43-N43</f>
        <v>0</v>
      </c>
      <c r="P43" s="1422"/>
      <c r="Q43" s="1422"/>
      <c r="R43" s="1422">
        <f>+P43-Q43</f>
        <v>0</v>
      </c>
      <c r="S43" s="1422"/>
      <c r="T43" s="1422"/>
      <c r="U43" s="1422">
        <f t="shared" si="19"/>
        <v>0</v>
      </c>
      <c r="V43" s="1422">
        <v>0</v>
      </c>
      <c r="W43" s="1422">
        <v>0</v>
      </c>
      <c r="X43" s="1422">
        <f t="shared" si="16"/>
        <v>0</v>
      </c>
      <c r="Y43" s="1423">
        <f t="shared" si="17"/>
        <v>0</v>
      </c>
      <c r="Z43" s="1424">
        <f t="shared" si="18"/>
        <v>1240.42</v>
      </c>
      <c r="AA43" s="1425">
        <f t="shared" si="5"/>
        <v>-1240.42</v>
      </c>
      <c r="AB43" s="1426">
        <v>0</v>
      </c>
      <c r="AC43" s="1427" t="s">
        <v>807</v>
      </c>
    </row>
    <row r="44" spans="1:29" ht="24" x14ac:dyDescent="0.2">
      <c r="A44" s="1416" t="s">
        <v>861</v>
      </c>
      <c r="B44" s="1417" t="s">
        <v>862</v>
      </c>
      <c r="C44" s="1416" t="s">
        <v>855</v>
      </c>
      <c r="D44" s="1419"/>
      <c r="E44" s="1420">
        <v>5495.74</v>
      </c>
      <c r="F44" s="1420">
        <f>+D44-E44</f>
        <v>-5495.74</v>
      </c>
      <c r="G44" s="1419"/>
      <c r="H44" s="1419"/>
      <c r="I44" s="1421">
        <f>+G44-H44</f>
        <v>0</v>
      </c>
      <c r="J44" s="1419"/>
      <c r="K44" s="1420"/>
      <c r="L44" s="1420">
        <f>+J44-K44</f>
        <v>0</v>
      </c>
      <c r="M44" s="1419"/>
      <c r="N44" s="1448"/>
      <c r="O44" s="1422">
        <f>+M44-N44</f>
        <v>0</v>
      </c>
      <c r="P44" s="1422"/>
      <c r="Q44" s="1422"/>
      <c r="R44" s="1422">
        <f>+P44-Q44</f>
        <v>0</v>
      </c>
      <c r="S44" s="1422"/>
      <c r="T44" s="1422"/>
      <c r="U44" s="1422">
        <f t="shared" si="19"/>
        <v>0</v>
      </c>
      <c r="V44" s="1422">
        <v>0</v>
      </c>
      <c r="W44" s="1422">
        <v>0</v>
      </c>
      <c r="X44" s="1422">
        <f t="shared" si="16"/>
        <v>0</v>
      </c>
      <c r="Y44" s="1423">
        <f t="shared" si="17"/>
        <v>0</v>
      </c>
      <c r="Z44" s="1424">
        <f t="shared" si="18"/>
        <v>5495.74</v>
      </c>
      <c r="AA44" s="1425">
        <f t="shared" si="5"/>
        <v>-5495.74</v>
      </c>
      <c r="AB44" s="1426">
        <v>0</v>
      </c>
      <c r="AC44" s="1427" t="s">
        <v>807</v>
      </c>
    </row>
    <row r="45" spans="1:29" ht="32.1" customHeight="1" x14ac:dyDescent="0.2">
      <c r="A45" s="2744" t="s">
        <v>863</v>
      </c>
      <c r="B45" s="2745"/>
      <c r="C45" s="1416"/>
      <c r="D45" s="1434"/>
      <c r="E45" s="1435"/>
      <c r="F45" s="1420"/>
      <c r="G45" s="1434"/>
      <c r="H45" s="1434"/>
      <c r="I45" s="1421"/>
      <c r="J45" s="1434"/>
      <c r="K45" s="1435"/>
      <c r="L45" s="1420"/>
      <c r="M45" s="1434"/>
      <c r="N45" s="1435"/>
      <c r="O45" s="1422"/>
      <c r="P45" s="1422"/>
      <c r="Q45" s="1422"/>
      <c r="R45" s="1422"/>
      <c r="S45" s="1422"/>
      <c r="T45" s="1422"/>
      <c r="U45" s="1422">
        <f t="shared" si="19"/>
        <v>0</v>
      </c>
      <c r="V45" s="1422">
        <v>0</v>
      </c>
      <c r="W45" s="1422">
        <v>0</v>
      </c>
      <c r="X45" s="1422">
        <f t="shared" si="16"/>
        <v>0</v>
      </c>
      <c r="Y45" s="1423">
        <f t="shared" si="17"/>
        <v>0</v>
      </c>
      <c r="Z45" s="1424">
        <f t="shared" si="18"/>
        <v>0</v>
      </c>
      <c r="AA45" s="1425">
        <f t="shared" si="5"/>
        <v>0</v>
      </c>
      <c r="AB45" s="1426">
        <v>0</v>
      </c>
      <c r="AC45" s="1431"/>
    </row>
    <row r="46" spans="1:29" x14ac:dyDescent="0.2">
      <c r="A46" s="1416" t="s">
        <v>864</v>
      </c>
      <c r="B46" s="1417" t="s">
        <v>865</v>
      </c>
      <c r="C46" s="1416" t="s">
        <v>866</v>
      </c>
      <c r="D46" s="1419">
        <v>3000</v>
      </c>
      <c r="E46" s="1420">
        <v>819.85</v>
      </c>
      <c r="F46" s="1420">
        <f t="shared" ref="F46:F53" si="20">+D46-E46</f>
        <v>2180.15</v>
      </c>
      <c r="G46" s="1416"/>
      <c r="H46" s="1416"/>
      <c r="I46" s="1421">
        <f t="shared" ref="I46:I53" si="21">+G46-H46</f>
        <v>0</v>
      </c>
      <c r="J46" s="1419"/>
      <c r="K46" s="1420"/>
      <c r="L46" s="1420">
        <f t="shared" ref="L46:L53" si="22">+J46-K46</f>
        <v>0</v>
      </c>
      <c r="M46" s="1419"/>
      <c r="N46" s="1420">
        <v>1000</v>
      </c>
      <c r="O46" s="1422">
        <f t="shared" ref="O46:O53" si="23">+M46-N46</f>
        <v>-1000</v>
      </c>
      <c r="P46" s="1422"/>
      <c r="Q46" s="1422">
        <v>2703.29</v>
      </c>
      <c r="R46" s="1422">
        <f t="shared" ref="R46:R53" si="24">+P46-Q46</f>
        <v>-2703.29</v>
      </c>
      <c r="S46" s="1438"/>
      <c r="T46" s="1422"/>
      <c r="U46" s="1422">
        <f t="shared" si="19"/>
        <v>0</v>
      </c>
      <c r="V46" s="1422">
        <v>0</v>
      </c>
      <c r="W46" s="1422">
        <v>490.9191095437514</v>
      </c>
      <c r="X46" s="1422">
        <f t="shared" si="16"/>
        <v>-490.9191095437514</v>
      </c>
      <c r="Y46" s="1423">
        <f t="shared" si="17"/>
        <v>3000</v>
      </c>
      <c r="Z46" s="1424">
        <f t="shared" si="18"/>
        <v>5014.0591095437512</v>
      </c>
      <c r="AA46" s="1425">
        <f t="shared" si="5"/>
        <v>-2014.0591095437512</v>
      </c>
      <c r="AB46" s="1426">
        <f t="shared" ref="AB46:AB52" si="25">+AA46/Y46</f>
        <v>-0.67135303651458378</v>
      </c>
      <c r="AC46" s="1431" t="s">
        <v>867</v>
      </c>
    </row>
    <row r="47" spans="1:29" x14ac:dyDescent="0.2">
      <c r="A47" s="1416" t="s">
        <v>868</v>
      </c>
      <c r="B47" s="1440" t="s">
        <v>869</v>
      </c>
      <c r="C47" s="1416" t="s">
        <v>866</v>
      </c>
      <c r="D47" s="1419">
        <v>4820</v>
      </c>
      <c r="E47" s="1420"/>
      <c r="F47" s="1420">
        <f t="shared" si="20"/>
        <v>4820</v>
      </c>
      <c r="G47" s="1419"/>
      <c r="H47" s="1419"/>
      <c r="I47" s="1421">
        <f t="shared" si="21"/>
        <v>0</v>
      </c>
      <c r="J47" s="1416"/>
      <c r="K47" s="1421"/>
      <c r="L47" s="1420">
        <f t="shared" si="22"/>
        <v>0</v>
      </c>
      <c r="M47" s="1419"/>
      <c r="N47" s="1420">
        <v>4818.1429182712882</v>
      </c>
      <c r="O47" s="1422">
        <f t="shared" si="23"/>
        <v>-4818.1429182712882</v>
      </c>
      <c r="P47" s="1422">
        <v>4820</v>
      </c>
      <c r="Q47" s="1422"/>
      <c r="R47" s="1422">
        <f t="shared" si="24"/>
        <v>4820</v>
      </c>
      <c r="S47" s="1422"/>
      <c r="T47" s="1422">
        <v>7590.92</v>
      </c>
      <c r="U47" s="1422">
        <f t="shared" si="19"/>
        <v>-7590.92</v>
      </c>
      <c r="V47" s="1422">
        <v>0</v>
      </c>
      <c r="W47" s="1422">
        <v>0</v>
      </c>
      <c r="X47" s="1422">
        <f t="shared" si="16"/>
        <v>0</v>
      </c>
      <c r="Y47" s="1423">
        <f t="shared" si="17"/>
        <v>9640</v>
      </c>
      <c r="Z47" s="1424">
        <f t="shared" si="18"/>
        <v>12409.062918271287</v>
      </c>
      <c r="AA47" s="1425">
        <f t="shared" si="5"/>
        <v>-2769.0629182712873</v>
      </c>
      <c r="AB47" s="1426">
        <f t="shared" si="25"/>
        <v>-0.28724719069204224</v>
      </c>
      <c r="AC47" s="1431" t="s">
        <v>1073</v>
      </c>
    </row>
    <row r="48" spans="1:29" x14ac:dyDescent="0.2">
      <c r="A48" s="1416" t="s">
        <v>870</v>
      </c>
      <c r="B48" s="1417" t="s">
        <v>871</v>
      </c>
      <c r="C48" s="1416" t="s">
        <v>866</v>
      </c>
      <c r="D48" s="1416"/>
      <c r="E48" s="1421"/>
      <c r="F48" s="1420">
        <f t="shared" si="20"/>
        <v>0</v>
      </c>
      <c r="G48" s="1419">
        <v>2517.5</v>
      </c>
      <c r="H48" s="1419"/>
      <c r="I48" s="1421">
        <f t="shared" si="21"/>
        <v>2517.5</v>
      </c>
      <c r="J48" s="1419">
        <v>2518</v>
      </c>
      <c r="K48" s="1420"/>
      <c r="L48" s="1420">
        <f t="shared" si="22"/>
        <v>2518</v>
      </c>
      <c r="M48" s="1419"/>
      <c r="N48" s="1420">
        <v>5358.3654257595208</v>
      </c>
      <c r="O48" s="1422">
        <f t="shared" si="23"/>
        <v>-5358.3654257595208</v>
      </c>
      <c r="P48" s="1422">
        <v>3085</v>
      </c>
      <c r="Q48" s="1422"/>
      <c r="R48" s="1422">
        <f t="shared" si="24"/>
        <v>3085</v>
      </c>
      <c r="S48" s="1422">
        <v>3085</v>
      </c>
      <c r="T48" s="1422"/>
      <c r="U48" s="1422">
        <f t="shared" si="19"/>
        <v>3085</v>
      </c>
      <c r="V48" s="1422">
        <v>6170</v>
      </c>
      <c r="W48" s="1422">
        <v>4408.1992506061279</v>
      </c>
      <c r="X48" s="1422">
        <f t="shared" si="16"/>
        <v>1761.8007493938721</v>
      </c>
      <c r="Y48" s="1423">
        <f t="shared" si="17"/>
        <v>17375.5</v>
      </c>
      <c r="Z48" s="1424">
        <f t="shared" si="18"/>
        <v>9766.5646763656478</v>
      </c>
      <c r="AA48" s="1425">
        <f t="shared" si="5"/>
        <v>7608.9353236343522</v>
      </c>
      <c r="AB48" s="1426">
        <f t="shared" si="25"/>
        <v>0.43791173339669953</v>
      </c>
      <c r="AC48" s="1431" t="s">
        <v>872</v>
      </c>
    </row>
    <row r="49" spans="1:29" x14ac:dyDescent="0.2">
      <c r="A49" s="1416" t="s">
        <v>873</v>
      </c>
      <c r="B49" s="1417" t="s">
        <v>874</v>
      </c>
      <c r="C49" s="1416" t="s">
        <v>866</v>
      </c>
      <c r="D49" s="1419">
        <v>2517.5</v>
      </c>
      <c r="E49" s="1420"/>
      <c r="F49" s="1420">
        <f t="shared" si="20"/>
        <v>2517.5</v>
      </c>
      <c r="G49" s="1419">
        <v>2517.5</v>
      </c>
      <c r="H49" s="1419"/>
      <c r="I49" s="1421">
        <f t="shared" si="21"/>
        <v>2517.5</v>
      </c>
      <c r="J49" s="1416"/>
      <c r="K49" s="1421"/>
      <c r="L49" s="1420">
        <f t="shared" si="22"/>
        <v>0</v>
      </c>
      <c r="M49" s="1416"/>
      <c r="N49" s="1421">
        <v>2503.2092426187419</v>
      </c>
      <c r="O49" s="1422">
        <f t="shared" si="23"/>
        <v>-2503.2092426187419</v>
      </c>
      <c r="P49" s="1422"/>
      <c r="Q49" s="1422"/>
      <c r="R49" s="1422">
        <f t="shared" si="24"/>
        <v>0</v>
      </c>
      <c r="S49" s="1438"/>
      <c r="T49" s="1422"/>
      <c r="U49" s="1422">
        <f t="shared" si="19"/>
        <v>0</v>
      </c>
      <c r="V49" s="1422">
        <v>0</v>
      </c>
      <c r="W49" s="1422">
        <v>0</v>
      </c>
      <c r="X49" s="1422">
        <f t="shared" si="16"/>
        <v>0</v>
      </c>
      <c r="Y49" s="1423">
        <f t="shared" si="17"/>
        <v>5035</v>
      </c>
      <c r="Z49" s="1424">
        <f t="shared" si="18"/>
        <v>2503.2092426187419</v>
      </c>
      <c r="AA49" s="1425">
        <f t="shared" si="5"/>
        <v>2531.7907573812581</v>
      </c>
      <c r="AB49" s="1426">
        <f t="shared" si="25"/>
        <v>0.50283828349180892</v>
      </c>
      <c r="AC49" s="1431" t="s">
        <v>872</v>
      </c>
    </row>
    <row r="50" spans="1:29" x14ac:dyDescent="0.2">
      <c r="A50" s="1416" t="s">
        <v>875</v>
      </c>
      <c r="B50" s="1417" t="s">
        <v>876</v>
      </c>
      <c r="C50" s="1416" t="s">
        <v>866</v>
      </c>
      <c r="D50" s="1419"/>
      <c r="E50" s="1420"/>
      <c r="F50" s="1420">
        <f t="shared" si="20"/>
        <v>0</v>
      </c>
      <c r="G50" s="1419"/>
      <c r="H50" s="1419"/>
      <c r="I50" s="1421">
        <f t="shared" si="21"/>
        <v>0</v>
      </c>
      <c r="J50" s="1419">
        <v>3600</v>
      </c>
      <c r="K50" s="1420"/>
      <c r="L50" s="1420">
        <f t="shared" si="22"/>
        <v>3600</v>
      </c>
      <c r="M50" s="1416"/>
      <c r="N50" s="1421">
        <v>3598.6307231493365</v>
      </c>
      <c r="O50" s="1422">
        <f t="shared" si="23"/>
        <v>-3598.6307231493365</v>
      </c>
      <c r="P50" s="1422"/>
      <c r="Q50" s="1422"/>
      <c r="R50" s="1422">
        <f t="shared" si="24"/>
        <v>0</v>
      </c>
      <c r="S50" s="1422"/>
      <c r="T50" s="1422"/>
      <c r="U50" s="1422">
        <f t="shared" si="19"/>
        <v>0</v>
      </c>
      <c r="V50" s="1422">
        <v>0</v>
      </c>
      <c r="W50" s="1422">
        <v>0</v>
      </c>
      <c r="X50" s="1422">
        <f t="shared" si="16"/>
        <v>0</v>
      </c>
      <c r="Y50" s="1423">
        <f t="shared" si="17"/>
        <v>3600</v>
      </c>
      <c r="Z50" s="1424">
        <f t="shared" si="18"/>
        <v>3598.6307231493365</v>
      </c>
      <c r="AA50" s="1425">
        <f t="shared" si="5"/>
        <v>1.369276850663482</v>
      </c>
      <c r="AB50" s="1426">
        <f t="shared" si="25"/>
        <v>3.803546807398561E-4</v>
      </c>
      <c r="AC50" s="1431"/>
    </row>
    <row r="51" spans="1:29" ht="24" x14ac:dyDescent="0.2">
      <c r="A51" s="1416" t="s">
        <v>877</v>
      </c>
      <c r="B51" s="1417" t="s">
        <v>878</v>
      </c>
      <c r="C51" s="1416" t="s">
        <v>866</v>
      </c>
      <c r="D51" s="1419"/>
      <c r="E51" s="1420"/>
      <c r="F51" s="1420">
        <f t="shared" si="20"/>
        <v>0</v>
      </c>
      <c r="G51" s="1419">
        <v>5095</v>
      </c>
      <c r="H51" s="1419"/>
      <c r="I51" s="1421">
        <f t="shared" si="21"/>
        <v>5095</v>
      </c>
      <c r="J51" s="1419"/>
      <c r="K51" s="1420"/>
      <c r="L51" s="1420">
        <f t="shared" si="22"/>
        <v>0</v>
      </c>
      <c r="M51" s="1419"/>
      <c r="N51" s="1420">
        <v>5990.5862216516898</v>
      </c>
      <c r="O51" s="1422">
        <f t="shared" si="23"/>
        <v>-5990.5862216516898</v>
      </c>
      <c r="P51" s="1422"/>
      <c r="Q51" s="1422"/>
      <c r="R51" s="1422">
        <f t="shared" si="24"/>
        <v>0</v>
      </c>
      <c r="S51" s="1422">
        <v>11500</v>
      </c>
      <c r="T51" s="1422">
        <f>8256.95+52.9</f>
        <v>8309.85</v>
      </c>
      <c r="U51" s="1422">
        <f t="shared" si="19"/>
        <v>3190.1499999999996</v>
      </c>
      <c r="V51" s="1422">
        <v>0</v>
      </c>
      <c r="W51" s="1422">
        <v>2522.3275292043204</v>
      </c>
      <c r="X51" s="1422">
        <f t="shared" si="16"/>
        <v>-2522.3275292043204</v>
      </c>
      <c r="Y51" s="1423">
        <f t="shared" si="17"/>
        <v>16595</v>
      </c>
      <c r="Z51" s="1424">
        <f t="shared" si="18"/>
        <v>16822.763750856011</v>
      </c>
      <c r="AA51" s="1425">
        <f t="shared" si="5"/>
        <v>-227.76375085601103</v>
      </c>
      <c r="AB51" s="1426">
        <f t="shared" si="25"/>
        <v>-1.3724841871407715E-2</v>
      </c>
      <c r="AC51" s="1427" t="s">
        <v>879</v>
      </c>
    </row>
    <row r="52" spans="1:29" x14ac:dyDescent="0.2">
      <c r="A52" s="1416" t="s">
        <v>880</v>
      </c>
      <c r="B52" s="1417" t="s">
        <v>881</v>
      </c>
      <c r="C52" s="1416" t="s">
        <v>866</v>
      </c>
      <c r="D52" s="1419">
        <v>5000</v>
      </c>
      <c r="E52" s="1420"/>
      <c r="F52" s="1420">
        <f t="shared" si="20"/>
        <v>5000</v>
      </c>
      <c r="G52" s="1419"/>
      <c r="H52" s="1419"/>
      <c r="I52" s="1421">
        <f t="shared" si="21"/>
        <v>0</v>
      </c>
      <c r="J52" s="1419">
        <v>5000</v>
      </c>
      <c r="K52" s="1420"/>
      <c r="L52" s="1420">
        <f t="shared" si="22"/>
        <v>5000</v>
      </c>
      <c r="M52" s="1419"/>
      <c r="N52" s="1420">
        <v>8634.36029097133</v>
      </c>
      <c r="O52" s="1422">
        <f t="shared" si="23"/>
        <v>-8634.36029097133</v>
      </c>
      <c r="P52" s="1422"/>
      <c r="Q52" s="1422"/>
      <c r="R52" s="1422">
        <f t="shared" si="24"/>
        <v>0</v>
      </c>
      <c r="S52" s="1422"/>
      <c r="T52" s="1422"/>
      <c r="U52" s="1422">
        <f t="shared" si="19"/>
        <v>0</v>
      </c>
      <c r="V52" s="1422">
        <v>0</v>
      </c>
      <c r="W52" s="1422">
        <v>0</v>
      </c>
      <c r="X52" s="1422">
        <f t="shared" si="16"/>
        <v>0</v>
      </c>
      <c r="Y52" s="1423">
        <f t="shared" si="17"/>
        <v>10000</v>
      </c>
      <c r="Z52" s="1424">
        <f t="shared" si="18"/>
        <v>8634.36029097133</v>
      </c>
      <c r="AA52" s="1425">
        <f t="shared" si="5"/>
        <v>1365.63970902867</v>
      </c>
      <c r="AB52" s="1426">
        <f t="shared" si="25"/>
        <v>0.13656397090286701</v>
      </c>
      <c r="AC52" s="1431" t="s">
        <v>882</v>
      </c>
    </row>
    <row r="53" spans="1:29" x14ac:dyDescent="0.2">
      <c r="A53" s="1416" t="s">
        <v>883</v>
      </c>
      <c r="B53" s="1417" t="s">
        <v>884</v>
      </c>
      <c r="C53" s="1416" t="s">
        <v>866</v>
      </c>
      <c r="D53" s="1419"/>
      <c r="E53" s="1420">
        <v>787.26</v>
      </c>
      <c r="F53" s="1420">
        <f t="shared" si="20"/>
        <v>-787.26</v>
      </c>
      <c r="G53" s="1419"/>
      <c r="H53" s="1419"/>
      <c r="I53" s="1421">
        <f t="shared" si="21"/>
        <v>0</v>
      </c>
      <c r="J53" s="1419"/>
      <c r="K53" s="1420"/>
      <c r="L53" s="1420">
        <f t="shared" si="22"/>
        <v>0</v>
      </c>
      <c r="M53" s="1419"/>
      <c r="N53" s="1448"/>
      <c r="O53" s="1422">
        <f t="shared" si="23"/>
        <v>0</v>
      </c>
      <c r="P53" s="1422"/>
      <c r="Q53" s="1422"/>
      <c r="R53" s="1422">
        <f t="shared" si="24"/>
        <v>0</v>
      </c>
      <c r="S53" s="1422"/>
      <c r="T53" s="1422"/>
      <c r="U53" s="1422">
        <f t="shared" si="19"/>
        <v>0</v>
      </c>
      <c r="V53" s="1422">
        <v>0</v>
      </c>
      <c r="W53" s="1422">
        <v>0</v>
      </c>
      <c r="X53" s="1422">
        <f t="shared" si="16"/>
        <v>0</v>
      </c>
      <c r="Y53" s="1423">
        <f t="shared" si="17"/>
        <v>0</v>
      </c>
      <c r="Z53" s="1424">
        <f t="shared" si="18"/>
        <v>787.26</v>
      </c>
      <c r="AA53" s="1425">
        <f t="shared" si="5"/>
        <v>-787.26</v>
      </c>
      <c r="AB53" s="1426">
        <v>0</v>
      </c>
      <c r="AC53" s="1427"/>
    </row>
    <row r="54" spans="1:29" ht="12.6" customHeight="1" x14ac:dyDescent="0.2">
      <c r="A54" s="2744" t="s">
        <v>885</v>
      </c>
      <c r="B54" s="2745"/>
      <c r="C54" s="1416"/>
      <c r="D54" s="1434"/>
      <c r="E54" s="1435"/>
      <c r="F54" s="1420"/>
      <c r="G54" s="1434"/>
      <c r="H54" s="1434"/>
      <c r="I54" s="1421"/>
      <c r="J54" s="1434"/>
      <c r="K54" s="1435"/>
      <c r="L54" s="1420"/>
      <c r="M54" s="1434"/>
      <c r="N54" s="1435"/>
      <c r="O54" s="1422"/>
      <c r="P54" s="1422"/>
      <c r="Q54" s="1422"/>
      <c r="R54" s="1422"/>
      <c r="S54" s="1422"/>
      <c r="T54" s="1422"/>
      <c r="U54" s="1422">
        <f t="shared" si="19"/>
        <v>0</v>
      </c>
      <c r="V54" s="1422">
        <v>0</v>
      </c>
      <c r="W54" s="1422">
        <v>0</v>
      </c>
      <c r="X54" s="1422">
        <f t="shared" si="16"/>
        <v>0</v>
      </c>
      <c r="Y54" s="1423">
        <f t="shared" si="17"/>
        <v>0</v>
      </c>
      <c r="Z54" s="1424">
        <f t="shared" si="18"/>
        <v>0</v>
      </c>
      <c r="AA54" s="1425">
        <f t="shared" si="5"/>
        <v>0</v>
      </c>
      <c r="AB54" s="1426">
        <v>0</v>
      </c>
      <c r="AC54" s="1431"/>
    </row>
    <row r="55" spans="1:29" x14ac:dyDescent="0.2">
      <c r="A55" s="1416" t="s">
        <v>886</v>
      </c>
      <c r="B55" s="1417" t="s">
        <v>887</v>
      </c>
      <c r="C55" s="1416" t="s">
        <v>888</v>
      </c>
      <c r="D55" s="1419"/>
      <c r="E55" s="1420"/>
      <c r="F55" s="1420">
        <f>+D55-E55</f>
        <v>0</v>
      </c>
      <c r="G55" s="1419">
        <v>9235</v>
      </c>
      <c r="H55" s="1419"/>
      <c r="I55" s="1421">
        <f>+G55-H55</f>
        <v>9235</v>
      </c>
      <c r="J55" s="1419"/>
      <c r="K55" s="1420"/>
      <c r="L55" s="1420">
        <f>+J55-K55</f>
        <v>0</v>
      </c>
      <c r="M55" s="1419"/>
      <c r="N55" s="1420">
        <v>9092.8540864356</v>
      </c>
      <c r="O55" s="1422">
        <f>+M55-N55</f>
        <v>-9092.8540864356</v>
      </c>
      <c r="P55" s="1422">
        <v>1000</v>
      </c>
      <c r="Q55" s="1422"/>
      <c r="R55" s="1422">
        <f>+P55-Q55</f>
        <v>1000</v>
      </c>
      <c r="S55" s="1422"/>
      <c r="T55" s="1422">
        <v>998.46</v>
      </c>
      <c r="U55" s="1422">
        <f t="shared" si="19"/>
        <v>-998.46</v>
      </c>
      <c r="V55" s="1422">
        <v>0</v>
      </c>
      <c r="W55" s="1422">
        <v>1000</v>
      </c>
      <c r="X55" s="1422">
        <f t="shared" si="16"/>
        <v>-1000</v>
      </c>
      <c r="Y55" s="1423">
        <f t="shared" si="17"/>
        <v>10235</v>
      </c>
      <c r="Z55" s="1424">
        <f t="shared" si="18"/>
        <v>11091.314086435599</v>
      </c>
      <c r="AA55" s="1425">
        <f t="shared" si="5"/>
        <v>-856.31408643559917</v>
      </c>
      <c r="AB55" s="1426">
        <f>+AA55/Y55</f>
        <v>-8.3665274688382918E-2</v>
      </c>
      <c r="AC55" s="1431" t="s">
        <v>848</v>
      </c>
    </row>
    <row r="56" spans="1:29" x14ac:dyDescent="0.2">
      <c r="A56" s="1416" t="s">
        <v>889</v>
      </c>
      <c r="B56" s="1417" t="s">
        <v>890</v>
      </c>
      <c r="C56" s="1416" t="s">
        <v>888</v>
      </c>
      <c r="D56" s="1419">
        <v>2669</v>
      </c>
      <c r="E56" s="1420"/>
      <c r="F56" s="1420">
        <f>+D56-E56</f>
        <v>2669</v>
      </c>
      <c r="G56" s="1416"/>
      <c r="H56" s="1416"/>
      <c r="I56" s="1421">
        <f>+G56-H56</f>
        <v>0</v>
      </c>
      <c r="J56" s="1419"/>
      <c r="K56" s="1420"/>
      <c r="L56" s="1420">
        <f>+J56-K56</f>
        <v>0</v>
      </c>
      <c r="M56" s="1419"/>
      <c r="N56" s="1420">
        <v>2625.160462130937</v>
      </c>
      <c r="O56" s="1422">
        <f>+M56-N56</f>
        <v>-2625.160462130937</v>
      </c>
      <c r="P56" s="1422"/>
      <c r="Q56" s="1422"/>
      <c r="R56" s="1422">
        <f>+P56-Q56</f>
        <v>0</v>
      </c>
      <c r="S56" s="1438"/>
      <c r="T56" s="1422"/>
      <c r="U56" s="1422">
        <f t="shared" si="19"/>
        <v>0</v>
      </c>
      <c r="V56" s="1422">
        <v>0</v>
      </c>
      <c r="W56" s="1422">
        <v>0</v>
      </c>
      <c r="X56" s="1422">
        <f t="shared" si="16"/>
        <v>0</v>
      </c>
      <c r="Y56" s="1423">
        <f t="shared" si="17"/>
        <v>2669</v>
      </c>
      <c r="Z56" s="1424">
        <f t="shared" si="18"/>
        <v>2625.160462130937</v>
      </c>
      <c r="AA56" s="1425">
        <f t="shared" si="5"/>
        <v>43.839537869062951</v>
      </c>
      <c r="AB56" s="1426">
        <f>+AA56/Y56</f>
        <v>1.6425454428273867E-2</v>
      </c>
      <c r="AC56" s="1431" t="s">
        <v>848</v>
      </c>
    </row>
    <row r="57" spans="1:29" ht="13.5" x14ac:dyDescent="0.2">
      <c r="A57" s="1439" t="s">
        <v>889</v>
      </c>
      <c r="B57" s="1429" t="s">
        <v>891</v>
      </c>
      <c r="C57" s="1416"/>
      <c r="D57" s="1419"/>
      <c r="E57" s="1420"/>
      <c r="F57" s="1420"/>
      <c r="G57" s="1416"/>
      <c r="H57" s="1416"/>
      <c r="I57" s="1421"/>
      <c r="J57" s="1419"/>
      <c r="K57" s="1420"/>
      <c r="L57" s="1420"/>
      <c r="M57" s="1419"/>
      <c r="N57" s="1420"/>
      <c r="O57" s="1422"/>
      <c r="P57" s="1422"/>
      <c r="Q57" s="1422"/>
      <c r="R57" s="1422"/>
      <c r="S57" s="1422">
        <v>6160</v>
      </c>
      <c r="T57" s="1422"/>
      <c r="U57" s="1422">
        <f t="shared" si="19"/>
        <v>6160</v>
      </c>
      <c r="V57" s="1422">
        <v>0</v>
      </c>
      <c r="W57" s="1422">
        <v>4439.9823672029979</v>
      </c>
      <c r="X57" s="1422">
        <f t="shared" si="16"/>
        <v>-4439.9823672029979</v>
      </c>
      <c r="Y57" s="1423">
        <f t="shared" si="17"/>
        <v>6160</v>
      </c>
      <c r="Z57" s="1424">
        <f t="shared" si="18"/>
        <v>4439.9823672029979</v>
      </c>
      <c r="AA57" s="1425">
        <f t="shared" si="5"/>
        <v>1720.0176327970021</v>
      </c>
      <c r="AB57" s="1426">
        <f>+AA57/Y57</f>
        <v>0.27922364168782499</v>
      </c>
      <c r="AC57" s="1431" t="s">
        <v>882</v>
      </c>
    </row>
    <row r="58" spans="1:29" x14ac:dyDescent="0.2">
      <c r="A58" s="1416" t="s">
        <v>892</v>
      </c>
      <c r="B58" s="1440" t="s">
        <v>893</v>
      </c>
      <c r="C58" s="1416" t="s">
        <v>888</v>
      </c>
      <c r="D58" s="1419"/>
      <c r="E58" s="1420">
        <v>1132.93</v>
      </c>
      <c r="F58" s="1420">
        <f t="shared" ref="F58:F64" si="26">+D58-E58</f>
        <v>-1132.93</v>
      </c>
      <c r="G58" s="1419"/>
      <c r="H58" s="1419"/>
      <c r="I58" s="1421">
        <f>+G58-H58</f>
        <v>0</v>
      </c>
      <c r="J58" s="1419">
        <v>10900</v>
      </c>
      <c r="K58" s="1420"/>
      <c r="L58" s="1420">
        <f>+J58-K58</f>
        <v>10900</v>
      </c>
      <c r="M58" s="1419"/>
      <c r="N58" s="1420">
        <v>10727.428326914847</v>
      </c>
      <c r="O58" s="1422">
        <f>+M58-N58</f>
        <v>-10727.428326914847</v>
      </c>
      <c r="P58" s="1422"/>
      <c r="Q58" s="1422"/>
      <c r="R58" s="1422">
        <f>+P58-Q58</f>
        <v>0</v>
      </c>
      <c r="S58" s="1422"/>
      <c r="T58" s="1422"/>
      <c r="U58" s="1422">
        <f t="shared" si="19"/>
        <v>0</v>
      </c>
      <c r="V58" s="1422">
        <v>0</v>
      </c>
      <c r="W58" s="1422">
        <v>0</v>
      </c>
      <c r="X58" s="1422">
        <f t="shared" si="16"/>
        <v>0</v>
      </c>
      <c r="Y58" s="1423">
        <f t="shared" si="17"/>
        <v>10900</v>
      </c>
      <c r="Z58" s="1424">
        <f t="shared" si="18"/>
        <v>11860.358326914848</v>
      </c>
      <c r="AA58" s="1425">
        <f t="shared" si="5"/>
        <v>-960.35832691484757</v>
      </c>
      <c r="AB58" s="1426">
        <f>+AA58/Y58</f>
        <v>-8.810626852429794E-2</v>
      </c>
      <c r="AC58" s="1431" t="s">
        <v>848</v>
      </c>
    </row>
    <row r="59" spans="1:29" x14ac:dyDescent="0.2">
      <c r="A59" s="1416" t="s">
        <v>894</v>
      </c>
      <c r="B59" s="1440" t="s">
        <v>895</v>
      </c>
      <c r="C59" s="1416" t="s">
        <v>888</v>
      </c>
      <c r="D59" s="1416"/>
      <c r="E59" s="1421"/>
      <c r="F59" s="1420">
        <f t="shared" si="26"/>
        <v>0</v>
      </c>
      <c r="G59" s="1419"/>
      <c r="H59" s="1419"/>
      <c r="I59" s="1421">
        <f>+G59-H59</f>
        <v>0</v>
      </c>
      <c r="J59" s="1419"/>
      <c r="K59" s="1420"/>
      <c r="L59" s="1420">
        <f>+J59-K59</f>
        <v>0</v>
      </c>
      <c r="M59" s="1419">
        <v>1860</v>
      </c>
      <c r="N59" s="1420">
        <v>1829.2682926829268</v>
      </c>
      <c r="O59" s="1422">
        <f>+M59-N59</f>
        <v>30.731707317073187</v>
      </c>
      <c r="P59" s="1422"/>
      <c r="Q59" s="1422"/>
      <c r="R59" s="1422">
        <f>+P59-Q59</f>
        <v>0</v>
      </c>
      <c r="S59" s="1422"/>
      <c r="T59" s="1422"/>
      <c r="U59" s="1422">
        <f t="shared" si="19"/>
        <v>0</v>
      </c>
      <c r="V59" s="1422">
        <v>2325</v>
      </c>
      <c r="W59" s="1422">
        <v>2339.5415472779373</v>
      </c>
      <c r="X59" s="1422">
        <f t="shared" si="16"/>
        <v>-14.541547277937298</v>
      </c>
      <c r="Y59" s="1423">
        <f t="shared" si="17"/>
        <v>4185</v>
      </c>
      <c r="Z59" s="1424">
        <f t="shared" si="18"/>
        <v>4168.8098399608643</v>
      </c>
      <c r="AA59" s="1425">
        <f t="shared" si="5"/>
        <v>16.190160039135662</v>
      </c>
      <c r="AB59" s="1426">
        <f>+AA59/Y59</f>
        <v>3.8686164968066098E-3</v>
      </c>
      <c r="AC59" s="1431" t="s">
        <v>848</v>
      </c>
    </row>
    <row r="60" spans="1:29" ht="18" customHeight="1" x14ac:dyDescent="0.2">
      <c r="A60" s="2744" t="s">
        <v>896</v>
      </c>
      <c r="B60" s="2745"/>
      <c r="C60" s="1416"/>
      <c r="D60" s="1434"/>
      <c r="E60" s="1435"/>
      <c r="F60" s="1420">
        <f t="shared" si="26"/>
        <v>0</v>
      </c>
      <c r="G60" s="1434"/>
      <c r="H60" s="1434"/>
      <c r="I60" s="1416"/>
      <c r="J60" s="1434"/>
      <c r="K60" s="1435"/>
      <c r="L60" s="1420"/>
      <c r="M60" s="1434"/>
      <c r="N60" s="1435"/>
      <c r="O60" s="1422"/>
      <c r="P60" s="1422"/>
      <c r="Q60" s="1422"/>
      <c r="R60" s="1422"/>
      <c r="S60" s="1422"/>
      <c r="T60" s="1422"/>
      <c r="U60" s="1422">
        <f t="shared" si="19"/>
        <v>0</v>
      </c>
      <c r="V60" s="1422">
        <v>0</v>
      </c>
      <c r="W60" s="1422">
        <v>0</v>
      </c>
      <c r="X60" s="1422">
        <f t="shared" si="16"/>
        <v>0</v>
      </c>
      <c r="Y60" s="1423">
        <f t="shared" si="17"/>
        <v>0</v>
      </c>
      <c r="Z60" s="1424">
        <f t="shared" si="18"/>
        <v>0</v>
      </c>
      <c r="AA60" s="1425">
        <f t="shared" si="5"/>
        <v>0</v>
      </c>
      <c r="AB60" s="1426">
        <v>0</v>
      </c>
      <c r="AC60" s="1431"/>
    </row>
    <row r="61" spans="1:29" x14ac:dyDescent="0.2">
      <c r="A61" s="1416" t="s">
        <v>897</v>
      </c>
      <c r="B61" s="1440" t="s">
        <v>898</v>
      </c>
      <c r="C61" s="1416" t="s">
        <v>855</v>
      </c>
      <c r="D61" s="1419">
        <v>2000</v>
      </c>
      <c r="E61" s="1420">
        <v>1020.81</v>
      </c>
      <c r="F61" s="1420">
        <f t="shared" si="26"/>
        <v>979.19</v>
      </c>
      <c r="G61" s="1419">
        <v>6000</v>
      </c>
      <c r="H61" s="1419">
        <v>127.85</v>
      </c>
      <c r="I61" s="1421">
        <f>+G61-H61</f>
        <v>5872.15</v>
      </c>
      <c r="J61" s="1416"/>
      <c r="K61" s="1421">
        <v>106.97</v>
      </c>
      <c r="L61" s="1420">
        <f>+J61-K61</f>
        <v>-106.97</v>
      </c>
      <c r="M61" s="1419"/>
      <c r="N61" s="1420">
        <v>5546.4484381685916</v>
      </c>
      <c r="O61" s="1422">
        <f>+M61-N61</f>
        <v>-5546.4484381685916</v>
      </c>
      <c r="P61" s="1422"/>
      <c r="Q61" s="1422">
        <v>113.41</v>
      </c>
      <c r="R61" s="1422">
        <f>+P61-Q61</f>
        <v>-113.41</v>
      </c>
      <c r="S61" s="1422">
        <v>22500</v>
      </c>
      <c r="T61" s="1422">
        <f>888.27</f>
        <v>888.27</v>
      </c>
      <c r="U61" s="1422">
        <f t="shared" si="19"/>
        <v>21611.73</v>
      </c>
      <c r="V61" s="1422">
        <v>0</v>
      </c>
      <c r="W61" s="1422">
        <v>10578.399823672031</v>
      </c>
      <c r="X61" s="1422">
        <f t="shared" si="16"/>
        <v>-10578.399823672031</v>
      </c>
      <c r="Y61" s="1423">
        <f t="shared" si="17"/>
        <v>30500</v>
      </c>
      <c r="Z61" s="1424">
        <f t="shared" si="18"/>
        <v>18382.158261840625</v>
      </c>
      <c r="AA61" s="1425">
        <f t="shared" si="5"/>
        <v>12117.841738159375</v>
      </c>
      <c r="AB61" s="1426">
        <f>+AA61/Y61</f>
        <v>0.3973062864970287</v>
      </c>
      <c r="AC61" s="1431" t="s">
        <v>845</v>
      </c>
    </row>
    <row r="62" spans="1:29" x14ac:dyDescent="0.2">
      <c r="A62" s="1416" t="s">
        <v>899</v>
      </c>
      <c r="B62" s="1440" t="s">
        <v>900</v>
      </c>
      <c r="C62" s="1416" t="s">
        <v>855</v>
      </c>
      <c r="D62" s="1419">
        <v>8000</v>
      </c>
      <c r="E62" s="1420"/>
      <c r="F62" s="1420">
        <f t="shared" si="26"/>
        <v>8000</v>
      </c>
      <c r="G62" s="1419"/>
      <c r="H62" s="1419"/>
      <c r="I62" s="1421">
        <f>+G62-H62</f>
        <v>0</v>
      </c>
      <c r="J62" s="1416"/>
      <c r="K62" s="1421"/>
      <c r="L62" s="1420">
        <f>+J62-K62</f>
        <v>0</v>
      </c>
      <c r="M62" s="1419"/>
      <c r="N62" s="1420">
        <v>5372</v>
      </c>
      <c r="O62" s="1422">
        <f>+M62-N62</f>
        <v>-5372</v>
      </c>
      <c r="P62" s="1422"/>
      <c r="Q62" s="1422">
        <v>1103.51</v>
      </c>
      <c r="R62" s="1422">
        <f>+P62-Q62</f>
        <v>-1103.51</v>
      </c>
      <c r="S62" s="1422"/>
      <c r="T62" s="1422">
        <v>1421.6</v>
      </c>
      <c r="U62" s="1422">
        <f t="shared" si="19"/>
        <v>-1421.6</v>
      </c>
      <c r="V62" s="1422">
        <v>0</v>
      </c>
      <c r="W62" s="1422">
        <v>0</v>
      </c>
      <c r="X62" s="1422">
        <f t="shared" si="16"/>
        <v>0</v>
      </c>
      <c r="Y62" s="1423">
        <f t="shared" si="17"/>
        <v>8000</v>
      </c>
      <c r="Z62" s="1424">
        <f t="shared" si="18"/>
        <v>7897.1100000000006</v>
      </c>
      <c r="AA62" s="1425">
        <f t="shared" si="5"/>
        <v>102.88999999999942</v>
      </c>
      <c r="AB62" s="1426">
        <f>+AA62/Y62</f>
        <v>1.2861249999999927E-2</v>
      </c>
      <c r="AC62" s="1431" t="s">
        <v>848</v>
      </c>
    </row>
    <row r="63" spans="1:29" ht="35.1" customHeight="1" x14ac:dyDescent="0.2">
      <c r="A63" s="2744" t="s">
        <v>901</v>
      </c>
      <c r="B63" s="2745"/>
      <c r="C63" s="1416"/>
      <c r="D63" s="1434"/>
      <c r="E63" s="1435"/>
      <c r="F63" s="1420">
        <f t="shared" si="26"/>
        <v>0</v>
      </c>
      <c r="G63" s="1434"/>
      <c r="H63" s="1434"/>
      <c r="I63" s="1416"/>
      <c r="J63" s="1434"/>
      <c r="K63" s="1435"/>
      <c r="L63" s="1420"/>
      <c r="M63" s="1434"/>
      <c r="N63" s="1435"/>
      <c r="O63" s="1422"/>
      <c r="P63" s="1422"/>
      <c r="Q63" s="1422"/>
      <c r="R63" s="1422"/>
      <c r="S63" s="1422"/>
      <c r="T63" s="1422"/>
      <c r="U63" s="1422">
        <f t="shared" si="19"/>
        <v>0</v>
      </c>
      <c r="V63" s="1422">
        <v>0</v>
      </c>
      <c r="W63" s="1422">
        <v>0</v>
      </c>
      <c r="X63" s="1422">
        <f t="shared" si="16"/>
        <v>0</v>
      </c>
      <c r="Y63" s="1423">
        <f t="shared" si="17"/>
        <v>0</v>
      </c>
      <c r="Z63" s="1424">
        <f t="shared" si="18"/>
        <v>0</v>
      </c>
      <c r="AA63" s="1425">
        <f t="shared" si="5"/>
        <v>0</v>
      </c>
      <c r="AB63" s="1426">
        <v>0</v>
      </c>
      <c r="AC63" s="1431"/>
    </row>
    <row r="64" spans="1:29" x14ac:dyDescent="0.2">
      <c r="A64" s="1416" t="s">
        <v>902</v>
      </c>
      <c r="B64" s="1440" t="s">
        <v>903</v>
      </c>
      <c r="C64" s="1460" t="s">
        <v>855</v>
      </c>
      <c r="D64" s="1419">
        <v>999</v>
      </c>
      <c r="E64" s="1420"/>
      <c r="F64" s="1420">
        <f t="shared" si="26"/>
        <v>999</v>
      </c>
      <c r="G64" s="1419">
        <v>999</v>
      </c>
      <c r="H64" s="1419">
        <v>2624.13</v>
      </c>
      <c r="I64" s="1421">
        <f>+G64-H64</f>
        <v>-1625.13</v>
      </c>
      <c r="J64" s="1419">
        <v>999</v>
      </c>
      <c r="K64" s="1420"/>
      <c r="L64" s="1420">
        <f>+J64-K64</f>
        <v>999</v>
      </c>
      <c r="M64" s="1419">
        <v>999</v>
      </c>
      <c r="N64" s="1420">
        <v>1775</v>
      </c>
      <c r="O64" s="1422">
        <f>+M64-N64</f>
        <v>-776</v>
      </c>
      <c r="P64" s="1422">
        <v>999</v>
      </c>
      <c r="Q64" s="1422">
        <v>390.84</v>
      </c>
      <c r="R64" s="1422">
        <f>+P64-Q64</f>
        <v>608.16000000000008</v>
      </c>
      <c r="S64" s="1422">
        <v>999</v>
      </c>
      <c r="T64" s="1422">
        <f>198.37+99.18</f>
        <v>297.55</v>
      </c>
      <c r="U64" s="1422">
        <f t="shared" si="19"/>
        <v>701.45</v>
      </c>
      <c r="V64" s="1422">
        <v>999</v>
      </c>
      <c r="W64" s="1422">
        <v>859.59885386819485</v>
      </c>
      <c r="X64" s="1422">
        <f t="shared" si="16"/>
        <v>139.40114613180515</v>
      </c>
      <c r="Y64" s="1423">
        <f t="shared" si="17"/>
        <v>6993</v>
      </c>
      <c r="Z64" s="1424">
        <f t="shared" si="18"/>
        <v>5947.1188538681954</v>
      </c>
      <c r="AA64" s="1425">
        <f t="shared" si="5"/>
        <v>1045.8811461318046</v>
      </c>
      <c r="AB64" s="1426">
        <f t="shared" ref="AB64:AB69" si="27">+AA64/Y64</f>
        <v>0.14956115345800153</v>
      </c>
      <c r="AC64" s="1431" t="s">
        <v>904</v>
      </c>
    </row>
    <row r="65" spans="1:29" x14ac:dyDescent="0.2">
      <c r="A65" s="1416"/>
      <c r="B65" s="1440" t="s">
        <v>905</v>
      </c>
      <c r="C65" s="1416" t="s">
        <v>855</v>
      </c>
      <c r="D65" s="1419"/>
      <c r="E65" s="1420"/>
      <c r="F65" s="1420"/>
      <c r="G65" s="1419"/>
      <c r="H65" s="1419"/>
      <c r="I65" s="1421"/>
      <c r="J65" s="1419"/>
      <c r="K65" s="1420"/>
      <c r="L65" s="1420"/>
      <c r="M65" s="1419"/>
      <c r="N65" s="1420"/>
      <c r="O65" s="1422"/>
      <c r="P65" s="1422"/>
      <c r="Q65" s="1422"/>
      <c r="R65" s="1422"/>
      <c r="S65" s="1422"/>
      <c r="T65" s="1422"/>
      <c r="U65" s="1422"/>
      <c r="V65" s="1422">
        <v>17166</v>
      </c>
      <c r="W65" s="1422">
        <v>18800.925721842628</v>
      </c>
      <c r="X65" s="1422">
        <f t="shared" si="16"/>
        <v>-1634.9257218426283</v>
      </c>
      <c r="Y65" s="1423">
        <f t="shared" si="17"/>
        <v>17166</v>
      </c>
      <c r="Z65" s="1424">
        <f t="shared" si="18"/>
        <v>18800.925721842628</v>
      </c>
      <c r="AA65" s="1425">
        <f t="shared" si="5"/>
        <v>-1634.9257218426283</v>
      </c>
      <c r="AB65" s="1426">
        <f t="shared" si="27"/>
        <v>-9.5242090285601086E-2</v>
      </c>
      <c r="AC65" s="1431"/>
    </row>
    <row r="66" spans="1:29" x14ac:dyDescent="0.2">
      <c r="A66" s="1416" t="s">
        <v>906</v>
      </c>
      <c r="B66" s="1417" t="s">
        <v>907</v>
      </c>
      <c r="C66" s="1416" t="s">
        <v>855</v>
      </c>
      <c r="D66" s="1419">
        <v>3982</v>
      </c>
      <c r="E66" s="1420"/>
      <c r="F66" s="1420">
        <f>+D66-E66</f>
        <v>3982</v>
      </c>
      <c r="G66" s="1416"/>
      <c r="H66" s="1416"/>
      <c r="I66" s="1421">
        <f>+G66-H66</f>
        <v>0</v>
      </c>
      <c r="J66" s="1419"/>
      <c r="K66" s="1420"/>
      <c r="L66" s="1420">
        <f>+J66-K66</f>
        <v>0</v>
      </c>
      <c r="M66" s="1419"/>
      <c r="N66" s="1420">
        <v>639.28112965340176</v>
      </c>
      <c r="O66" s="1422">
        <f>+M66-N66</f>
        <v>-639.28112965340176</v>
      </c>
      <c r="P66" s="1422"/>
      <c r="Q66" s="1422">
        <v>46.66</v>
      </c>
      <c r="R66" s="1422">
        <f>+P66-Q66</f>
        <v>-46.66</v>
      </c>
      <c r="S66" s="1422"/>
      <c r="T66" s="1422">
        <f>3914.66</f>
        <v>3914.66</v>
      </c>
      <c r="U66" s="1422">
        <f t="shared" ref="U66:U99" si="28">+S66-T66</f>
        <v>-3914.66</v>
      </c>
      <c r="V66" s="1422">
        <v>0</v>
      </c>
      <c r="W66" s="1422">
        <v>0</v>
      </c>
      <c r="X66" s="1422">
        <f t="shared" si="16"/>
        <v>0</v>
      </c>
      <c r="Y66" s="1423">
        <f t="shared" si="17"/>
        <v>3982</v>
      </c>
      <c r="Z66" s="1424">
        <f t="shared" si="18"/>
        <v>4600.6011296534016</v>
      </c>
      <c r="AA66" s="1425">
        <f t="shared" si="5"/>
        <v>-618.60112965340159</v>
      </c>
      <c r="AB66" s="1426">
        <f t="shared" si="27"/>
        <v>-0.15534935450863926</v>
      </c>
      <c r="AC66" s="1431" t="s">
        <v>908</v>
      </c>
    </row>
    <row r="67" spans="1:29" ht="24" x14ac:dyDescent="0.2">
      <c r="A67" s="1416" t="s">
        <v>909</v>
      </c>
      <c r="B67" s="1440" t="s">
        <v>910</v>
      </c>
      <c r="C67" s="1416" t="s">
        <v>855</v>
      </c>
      <c r="D67" s="1419"/>
      <c r="E67" s="1420">
        <v>21810.6</v>
      </c>
      <c r="F67" s="1420">
        <f>+D67-E67</f>
        <v>-21810.6</v>
      </c>
      <c r="G67" s="1419"/>
      <c r="H67" s="1419">
        <f>1954.82+19.16</f>
        <v>1973.98</v>
      </c>
      <c r="I67" s="1421">
        <f>+G67-H67</f>
        <v>-1973.98</v>
      </c>
      <c r="J67" s="1419">
        <v>21750</v>
      </c>
      <c r="K67" s="1420"/>
      <c r="L67" s="1420">
        <f>+J67-K67</f>
        <v>21750</v>
      </c>
      <c r="M67" s="1419"/>
      <c r="N67" s="1420">
        <v>8645.6996148908856</v>
      </c>
      <c r="O67" s="1422">
        <f>+M67-N67</f>
        <v>-8645.6996148908856</v>
      </c>
      <c r="P67" s="1422"/>
      <c r="Q67" s="1422"/>
      <c r="R67" s="1422">
        <f>+P67-Q67</f>
        <v>0</v>
      </c>
      <c r="S67" s="1422"/>
      <c r="T67" s="1422"/>
      <c r="U67" s="1422">
        <f t="shared" si="28"/>
        <v>0</v>
      </c>
      <c r="V67" s="1422">
        <v>21750</v>
      </c>
      <c r="W67" s="1422">
        <v>0</v>
      </c>
      <c r="X67" s="1422">
        <f t="shared" si="16"/>
        <v>21750</v>
      </c>
      <c r="Y67" s="1423">
        <f t="shared" si="17"/>
        <v>43500</v>
      </c>
      <c r="Z67" s="1424">
        <f t="shared" si="18"/>
        <v>32430.279614890882</v>
      </c>
      <c r="AA67" s="1425">
        <f t="shared" si="5"/>
        <v>11069.720385109118</v>
      </c>
      <c r="AB67" s="1426">
        <f t="shared" si="27"/>
        <v>0.25447633069216363</v>
      </c>
      <c r="AC67" s="1427" t="s">
        <v>807</v>
      </c>
    </row>
    <row r="68" spans="1:29" x14ac:dyDescent="0.2">
      <c r="A68" s="1416" t="s">
        <v>911</v>
      </c>
      <c r="B68" s="1417" t="s">
        <v>912</v>
      </c>
      <c r="C68" s="1416" t="s">
        <v>855</v>
      </c>
      <c r="D68" s="1419"/>
      <c r="E68" s="1420"/>
      <c r="F68" s="1420">
        <f>+D68-E68</f>
        <v>0</v>
      </c>
      <c r="G68" s="1419">
        <v>13750</v>
      </c>
      <c r="H68" s="1419"/>
      <c r="I68" s="1421">
        <f>+G68-H68</f>
        <v>13750</v>
      </c>
      <c r="J68" s="1419"/>
      <c r="K68" s="1420"/>
      <c r="L68" s="1420">
        <f>+J68-K68</f>
        <v>0</v>
      </c>
      <c r="M68" s="1419"/>
      <c r="N68" s="1420"/>
      <c r="O68" s="1422">
        <f>+M68-N68</f>
        <v>0</v>
      </c>
      <c r="P68" s="1422"/>
      <c r="Q68" s="1422"/>
      <c r="R68" s="1422">
        <f>+P68-Q68</f>
        <v>0</v>
      </c>
      <c r="S68" s="1422"/>
      <c r="T68" s="1422">
        <v>15059.8</v>
      </c>
      <c r="U68" s="1422">
        <f t="shared" si="28"/>
        <v>-15059.8</v>
      </c>
      <c r="V68" s="1422">
        <v>15045</v>
      </c>
      <c r="W68" s="1422">
        <v>0</v>
      </c>
      <c r="X68" s="1422">
        <f t="shared" si="16"/>
        <v>15045</v>
      </c>
      <c r="Y68" s="1423">
        <f t="shared" si="17"/>
        <v>28795</v>
      </c>
      <c r="Z68" s="1424">
        <f t="shared" si="18"/>
        <v>15059.8</v>
      </c>
      <c r="AA68" s="1425">
        <f t="shared" si="5"/>
        <v>13735.2</v>
      </c>
      <c r="AB68" s="1426">
        <f t="shared" si="27"/>
        <v>0.47699947907622853</v>
      </c>
      <c r="AC68" s="1431" t="s">
        <v>913</v>
      </c>
    </row>
    <row r="69" spans="1:29" ht="13.5" x14ac:dyDescent="0.2">
      <c r="A69" s="1439" t="s">
        <v>914</v>
      </c>
      <c r="B69" s="1429" t="s">
        <v>915</v>
      </c>
      <c r="C69" s="1416"/>
      <c r="D69" s="1419"/>
      <c r="E69" s="1420"/>
      <c r="F69" s="1420"/>
      <c r="G69" s="1419"/>
      <c r="H69" s="1419"/>
      <c r="I69" s="1421"/>
      <c r="J69" s="1419"/>
      <c r="K69" s="1420"/>
      <c r="L69" s="1420"/>
      <c r="M69" s="1419"/>
      <c r="N69" s="1448"/>
      <c r="O69" s="1422"/>
      <c r="P69" s="1422"/>
      <c r="Q69" s="1422"/>
      <c r="R69" s="1422"/>
      <c r="S69" s="1422">
        <v>10000</v>
      </c>
      <c r="T69" s="1422">
        <v>853.38</v>
      </c>
      <c r="U69" s="1422">
        <f t="shared" si="28"/>
        <v>9146.6200000000008</v>
      </c>
      <c r="V69" s="1422">
        <v>0</v>
      </c>
      <c r="W69" s="1422">
        <v>0</v>
      </c>
      <c r="X69" s="1422">
        <f t="shared" ref="X69:X100" si="29">+V69-W69</f>
        <v>0</v>
      </c>
      <c r="Y69" s="1423">
        <f t="shared" ref="Y69:Y103" si="30">+J69+G69+D69+M69+P69+S69+V69</f>
        <v>10000</v>
      </c>
      <c r="Z69" s="1424">
        <f t="shared" ref="Z69:Z103" si="31">+N69+K69+H69+E69+Q69+T69+W69</f>
        <v>853.38</v>
      </c>
      <c r="AA69" s="1425">
        <f t="shared" si="5"/>
        <v>9146.6200000000008</v>
      </c>
      <c r="AB69" s="1426">
        <f t="shared" si="27"/>
        <v>0.91466200000000009</v>
      </c>
      <c r="AC69" s="1427" t="s">
        <v>1074</v>
      </c>
    </row>
    <row r="70" spans="1:29" ht="24" x14ac:dyDescent="0.2">
      <c r="A70" s="1416" t="s">
        <v>914</v>
      </c>
      <c r="B70" s="1417" t="s">
        <v>916</v>
      </c>
      <c r="C70" s="1416" t="s">
        <v>855</v>
      </c>
      <c r="D70" s="1419"/>
      <c r="E70" s="1420">
        <v>1710.84</v>
      </c>
      <c r="F70" s="1420">
        <f>+D70-E70</f>
        <v>-1710.84</v>
      </c>
      <c r="G70" s="1419"/>
      <c r="H70" s="1419">
        <v>21840.59</v>
      </c>
      <c r="I70" s="1421">
        <f>+G70-H70</f>
        <v>-21840.59</v>
      </c>
      <c r="J70" s="1419"/>
      <c r="K70" s="1420"/>
      <c r="L70" s="1420">
        <f>+J70-K70</f>
        <v>0</v>
      </c>
      <c r="M70" s="1419"/>
      <c r="N70" s="1448"/>
      <c r="O70" s="1422">
        <f>+M70-N70</f>
        <v>0</v>
      </c>
      <c r="P70" s="1422"/>
      <c r="Q70" s="1422"/>
      <c r="R70" s="1422">
        <f>+P70-Q70</f>
        <v>0</v>
      </c>
      <c r="S70" s="1422"/>
      <c r="T70" s="1422"/>
      <c r="U70" s="1422">
        <f t="shared" si="28"/>
        <v>0</v>
      </c>
      <c r="V70" s="1422">
        <v>0</v>
      </c>
      <c r="W70" s="1422">
        <v>0</v>
      </c>
      <c r="X70" s="1422">
        <f t="shared" si="29"/>
        <v>0</v>
      </c>
      <c r="Y70" s="1423">
        <f t="shared" si="30"/>
        <v>0</v>
      </c>
      <c r="Z70" s="1424">
        <f t="shared" si="31"/>
        <v>23551.43</v>
      </c>
      <c r="AA70" s="1425">
        <f t="shared" ref="AA70:AA103" si="32">+Y70-Z70</f>
        <v>-23551.43</v>
      </c>
      <c r="AB70" s="1426">
        <v>0</v>
      </c>
      <c r="AC70" s="1427" t="s">
        <v>917</v>
      </c>
    </row>
    <row r="71" spans="1:29" x14ac:dyDescent="0.2">
      <c r="A71" s="1416"/>
      <c r="B71" s="1444" t="s">
        <v>918</v>
      </c>
      <c r="C71" s="1416" t="s">
        <v>855</v>
      </c>
      <c r="D71" s="1419"/>
      <c r="E71" s="1420"/>
      <c r="F71" s="1420"/>
      <c r="G71" s="1419"/>
      <c r="H71" s="1419"/>
      <c r="I71" s="1421"/>
      <c r="J71" s="1419"/>
      <c r="K71" s="1420"/>
      <c r="L71" s="1420"/>
      <c r="M71" s="1419"/>
      <c r="N71" s="1448"/>
      <c r="O71" s="1422"/>
      <c r="P71" s="1422">
        <v>25980</v>
      </c>
      <c r="Q71" s="1422"/>
      <c r="R71" s="1422">
        <f>+P71-Q71</f>
        <v>25980</v>
      </c>
      <c r="S71" s="1422"/>
      <c r="T71" s="1422">
        <v>19935.330000000002</v>
      </c>
      <c r="U71" s="1422">
        <f t="shared" si="28"/>
        <v>-19935.330000000002</v>
      </c>
      <c r="V71" s="1422">
        <v>0</v>
      </c>
      <c r="W71" s="1422">
        <v>16817.280141062376</v>
      </c>
      <c r="X71" s="1422">
        <f t="shared" si="29"/>
        <v>-16817.280141062376</v>
      </c>
      <c r="Y71" s="1423">
        <f t="shared" si="30"/>
        <v>25980</v>
      </c>
      <c r="Z71" s="1424">
        <f t="shared" si="31"/>
        <v>36752.610141062381</v>
      </c>
      <c r="AA71" s="1425">
        <f t="shared" si="32"/>
        <v>-10772.610141062381</v>
      </c>
      <c r="AB71" s="1426">
        <f>+AA71/Y71</f>
        <v>-0.414650120903094</v>
      </c>
      <c r="AC71" s="1427" t="s">
        <v>919</v>
      </c>
    </row>
    <row r="72" spans="1:29" x14ac:dyDescent="0.2">
      <c r="A72" s="1416"/>
      <c r="B72" s="1444" t="s">
        <v>920</v>
      </c>
      <c r="C72" s="1416" t="s">
        <v>855</v>
      </c>
      <c r="D72" s="1419"/>
      <c r="E72" s="1420"/>
      <c r="F72" s="1420"/>
      <c r="G72" s="1419"/>
      <c r="H72" s="1419"/>
      <c r="I72" s="1421"/>
      <c r="J72" s="1419"/>
      <c r="K72" s="1420"/>
      <c r="L72" s="1420"/>
      <c r="M72" s="1419"/>
      <c r="N72" s="1448"/>
      <c r="O72" s="1422"/>
      <c r="P72" s="1422">
        <v>4900</v>
      </c>
      <c r="Q72" s="1422"/>
      <c r="R72" s="1422">
        <f>+P72-Q72</f>
        <v>4900</v>
      </c>
      <c r="S72" s="1422"/>
      <c r="T72" s="1422"/>
      <c r="U72" s="1422">
        <f t="shared" si="28"/>
        <v>0</v>
      </c>
      <c r="V72" s="1422">
        <v>0</v>
      </c>
      <c r="W72" s="1422">
        <v>0</v>
      </c>
      <c r="X72" s="1422">
        <f t="shared" si="29"/>
        <v>0</v>
      </c>
      <c r="Y72" s="1423">
        <f t="shared" si="30"/>
        <v>4900</v>
      </c>
      <c r="Z72" s="1424">
        <f t="shared" si="31"/>
        <v>0</v>
      </c>
      <c r="AA72" s="1425">
        <f t="shared" si="32"/>
        <v>4900</v>
      </c>
      <c r="AB72" s="1426">
        <f>+AA72/Y72</f>
        <v>1</v>
      </c>
      <c r="AC72" s="1427" t="s">
        <v>1075</v>
      </c>
    </row>
    <row r="73" spans="1:29" ht="24" x14ac:dyDescent="0.2">
      <c r="A73" s="1416" t="s">
        <v>921</v>
      </c>
      <c r="B73" s="1417" t="s">
        <v>922</v>
      </c>
      <c r="C73" s="1416" t="s">
        <v>855</v>
      </c>
      <c r="D73" s="1419"/>
      <c r="E73" s="1420"/>
      <c r="F73" s="1420">
        <f t="shared" ref="F73:F94" si="33">+D73-E73</f>
        <v>0</v>
      </c>
      <c r="G73" s="1419"/>
      <c r="H73" s="1419">
        <v>5159.92</v>
      </c>
      <c r="I73" s="1421">
        <f>+G73-H73</f>
        <v>-5159.92</v>
      </c>
      <c r="J73" s="1419"/>
      <c r="K73" s="1420"/>
      <c r="L73" s="1420">
        <f>+J73-K73</f>
        <v>0</v>
      </c>
      <c r="M73" s="1419"/>
      <c r="N73" s="1448"/>
      <c r="O73" s="1422">
        <f>+M73-N73</f>
        <v>0</v>
      </c>
      <c r="P73" s="1422"/>
      <c r="Q73" s="1422"/>
      <c r="R73" s="1422">
        <f>+P73-Q73</f>
        <v>0</v>
      </c>
      <c r="S73" s="1422"/>
      <c r="T73" s="1422"/>
      <c r="U73" s="1422">
        <f t="shared" si="28"/>
        <v>0</v>
      </c>
      <c r="V73" s="1422">
        <v>0</v>
      </c>
      <c r="W73" s="1422">
        <v>0</v>
      </c>
      <c r="X73" s="1422">
        <f t="shared" si="29"/>
        <v>0</v>
      </c>
      <c r="Y73" s="1423">
        <f t="shared" si="30"/>
        <v>0</v>
      </c>
      <c r="Z73" s="1424">
        <f t="shared" si="31"/>
        <v>5159.92</v>
      </c>
      <c r="AA73" s="1425">
        <f t="shared" si="32"/>
        <v>-5159.92</v>
      </c>
      <c r="AB73" s="1426">
        <v>0</v>
      </c>
      <c r="AC73" s="1427" t="s">
        <v>917</v>
      </c>
    </row>
    <row r="74" spans="1:29" ht="18.600000000000001" customHeight="1" x14ac:dyDescent="0.2">
      <c r="A74" s="2744" t="s">
        <v>923</v>
      </c>
      <c r="B74" s="2745"/>
      <c r="C74" s="1416"/>
      <c r="D74" s="1434"/>
      <c r="E74" s="1435"/>
      <c r="F74" s="1420">
        <f t="shared" si="33"/>
        <v>0</v>
      </c>
      <c r="G74" s="1434"/>
      <c r="H74" s="1434"/>
      <c r="I74" s="1416"/>
      <c r="J74" s="1434"/>
      <c r="K74" s="1435"/>
      <c r="L74" s="1420"/>
      <c r="M74" s="1434"/>
      <c r="N74" s="1435"/>
      <c r="O74" s="1422"/>
      <c r="P74" s="1422"/>
      <c r="Q74" s="1422"/>
      <c r="R74" s="1422"/>
      <c r="S74" s="1422"/>
      <c r="T74" s="1422"/>
      <c r="U74" s="1422">
        <f t="shared" si="28"/>
        <v>0</v>
      </c>
      <c r="V74" s="1422">
        <v>0</v>
      </c>
      <c r="W74" s="1422">
        <v>0</v>
      </c>
      <c r="X74" s="1422">
        <f t="shared" si="29"/>
        <v>0</v>
      </c>
      <c r="Y74" s="1423">
        <f t="shared" si="30"/>
        <v>0</v>
      </c>
      <c r="Z74" s="1424">
        <f t="shared" si="31"/>
        <v>0</v>
      </c>
      <c r="AA74" s="1425">
        <f t="shared" si="32"/>
        <v>0</v>
      </c>
      <c r="AB74" s="1426">
        <v>0</v>
      </c>
      <c r="AC74" s="1431"/>
    </row>
    <row r="75" spans="1:29" ht="24" x14ac:dyDescent="0.2">
      <c r="A75" s="1416" t="s">
        <v>924</v>
      </c>
      <c r="B75" s="1417" t="s">
        <v>925</v>
      </c>
      <c r="C75" s="1416" t="s">
        <v>855</v>
      </c>
      <c r="D75" s="1419">
        <v>984</v>
      </c>
      <c r="E75" s="1420">
        <v>0</v>
      </c>
      <c r="F75" s="1420">
        <f t="shared" si="33"/>
        <v>984</v>
      </c>
      <c r="G75" s="1416"/>
      <c r="H75" s="1416">
        <v>899.04</v>
      </c>
      <c r="I75" s="1421">
        <f t="shared" ref="I75:I80" si="34">+G75-H75</f>
        <v>-899.04</v>
      </c>
      <c r="J75" s="1419"/>
      <c r="K75" s="1420"/>
      <c r="L75" s="1420">
        <f t="shared" ref="L75:L80" si="35">+J75-K75</f>
        <v>0</v>
      </c>
      <c r="M75" s="1419"/>
      <c r="N75" s="1420">
        <v>718.18570817287116</v>
      </c>
      <c r="O75" s="1422">
        <f t="shared" ref="O75:O80" si="36">+M75-N75</f>
        <v>-718.18570817287116</v>
      </c>
      <c r="P75" s="1422"/>
      <c r="Q75" s="1422"/>
      <c r="R75" s="1422">
        <f t="shared" ref="R75:R80" si="37">+P75-Q75</f>
        <v>0</v>
      </c>
      <c r="S75" s="1422"/>
      <c r="T75" s="1422">
        <v>24.25</v>
      </c>
      <c r="U75" s="1422">
        <f t="shared" si="28"/>
        <v>-24.25</v>
      </c>
      <c r="V75" s="1422">
        <v>0</v>
      </c>
      <c r="W75" s="1422">
        <v>0</v>
      </c>
      <c r="X75" s="1422">
        <f t="shared" si="29"/>
        <v>0</v>
      </c>
      <c r="Y75" s="1423">
        <f t="shared" si="30"/>
        <v>984</v>
      </c>
      <c r="Z75" s="1424">
        <f t="shared" si="31"/>
        <v>1641.4757081728712</v>
      </c>
      <c r="AA75" s="1425">
        <f t="shared" si="32"/>
        <v>-657.47570817287124</v>
      </c>
      <c r="AB75" s="1426">
        <f>+AA75/Y75</f>
        <v>-0.66816637009438129</v>
      </c>
      <c r="AC75" s="1427" t="s">
        <v>926</v>
      </c>
    </row>
    <row r="76" spans="1:29" ht="24" x14ac:dyDescent="0.2">
      <c r="A76" s="1416" t="s">
        <v>927</v>
      </c>
      <c r="B76" s="1417" t="s">
        <v>928</v>
      </c>
      <c r="C76" s="1416" t="s">
        <v>855</v>
      </c>
      <c r="D76" s="1419">
        <v>338</v>
      </c>
      <c r="E76" s="1420">
        <v>3207.97</v>
      </c>
      <c r="F76" s="1420">
        <f t="shared" si="33"/>
        <v>-2869.97</v>
      </c>
      <c r="G76" s="1419"/>
      <c r="H76" s="1419"/>
      <c r="I76" s="1421">
        <f t="shared" si="34"/>
        <v>0</v>
      </c>
      <c r="J76" s="1416"/>
      <c r="K76" s="1421"/>
      <c r="L76" s="1420">
        <f t="shared" si="35"/>
        <v>0</v>
      </c>
      <c r="M76" s="1419"/>
      <c r="N76" s="1420">
        <v>64.31322207958921</v>
      </c>
      <c r="O76" s="1422">
        <f t="shared" si="36"/>
        <v>-64.31322207958921</v>
      </c>
      <c r="P76" s="1422"/>
      <c r="Q76" s="1422"/>
      <c r="R76" s="1422">
        <f t="shared" si="37"/>
        <v>0</v>
      </c>
      <c r="S76" s="1422"/>
      <c r="T76" s="1422"/>
      <c r="U76" s="1422">
        <f t="shared" si="28"/>
        <v>0</v>
      </c>
      <c r="V76" s="1422">
        <v>0</v>
      </c>
      <c r="W76" s="1422">
        <v>0</v>
      </c>
      <c r="X76" s="1422">
        <f t="shared" si="29"/>
        <v>0</v>
      </c>
      <c r="Y76" s="1423">
        <f t="shared" si="30"/>
        <v>338</v>
      </c>
      <c r="Z76" s="1424">
        <f t="shared" si="31"/>
        <v>3272.283222079589</v>
      </c>
      <c r="AA76" s="1425">
        <f t="shared" si="32"/>
        <v>-2934.283222079589</v>
      </c>
      <c r="AB76" s="1426">
        <f>+AA76/Y76</f>
        <v>-8.6813113079277784</v>
      </c>
      <c r="AC76" s="1427" t="s">
        <v>929</v>
      </c>
    </row>
    <row r="77" spans="1:29" ht="21.6" customHeight="1" x14ac:dyDescent="0.2">
      <c r="A77" s="1416" t="s">
        <v>930</v>
      </c>
      <c r="B77" s="1417" t="s">
        <v>931</v>
      </c>
      <c r="C77" s="1416" t="s">
        <v>855</v>
      </c>
      <c r="D77" s="1419"/>
      <c r="E77" s="1420">
        <v>1736.25</v>
      </c>
      <c r="F77" s="1420">
        <f t="shared" si="33"/>
        <v>-1736.25</v>
      </c>
      <c r="G77" s="1419">
        <v>10000</v>
      </c>
      <c r="H77" s="1419"/>
      <c r="I77" s="1421">
        <f t="shared" si="34"/>
        <v>10000</v>
      </c>
      <c r="J77" s="1416"/>
      <c r="K77" s="1421">
        <v>2620.88</v>
      </c>
      <c r="L77" s="1420">
        <f t="shared" si="35"/>
        <v>-2620.88</v>
      </c>
      <c r="M77" s="1419"/>
      <c r="N77" s="1420">
        <v>3415.7680787334189</v>
      </c>
      <c r="O77" s="1422">
        <f t="shared" si="36"/>
        <v>-3415.7680787334189</v>
      </c>
      <c r="P77" s="1422"/>
      <c r="Q77" s="1422">
        <v>582.59</v>
      </c>
      <c r="R77" s="1422">
        <f t="shared" si="37"/>
        <v>-582.59</v>
      </c>
      <c r="S77" s="1422"/>
      <c r="T77" s="1422">
        <v>2226.48</v>
      </c>
      <c r="U77" s="1422">
        <f t="shared" si="28"/>
        <v>-2226.48</v>
      </c>
      <c r="V77" s="1422">
        <v>0</v>
      </c>
      <c r="W77" s="1422">
        <v>0</v>
      </c>
      <c r="X77" s="1422">
        <f t="shared" si="29"/>
        <v>0</v>
      </c>
      <c r="Y77" s="1423">
        <f t="shared" si="30"/>
        <v>10000</v>
      </c>
      <c r="Z77" s="1424">
        <f t="shared" si="31"/>
        <v>10581.968078733418</v>
      </c>
      <c r="AA77" s="1425">
        <f t="shared" si="32"/>
        <v>-581.96807873341822</v>
      </c>
      <c r="AB77" s="1426">
        <f>+AA77/Y77</f>
        <v>-5.8196807873341826E-2</v>
      </c>
      <c r="AC77" s="1427" t="s">
        <v>932</v>
      </c>
    </row>
    <row r="78" spans="1:29" ht="21.6" customHeight="1" x14ac:dyDescent="0.2">
      <c r="A78" s="1416" t="s">
        <v>933</v>
      </c>
      <c r="B78" s="1417" t="s">
        <v>934</v>
      </c>
      <c r="C78" s="1416" t="s">
        <v>855</v>
      </c>
      <c r="D78" s="1419"/>
      <c r="E78" s="1420">
        <f>2809.95+15908.77</f>
        <v>18718.72</v>
      </c>
      <c r="F78" s="1420">
        <f t="shared" si="33"/>
        <v>-18718.72</v>
      </c>
      <c r="G78" s="1419">
        <v>3680</v>
      </c>
      <c r="H78" s="1419">
        <v>433.97</v>
      </c>
      <c r="I78" s="1421">
        <f t="shared" si="34"/>
        <v>3246.0299999999997</v>
      </c>
      <c r="J78" s="1419"/>
      <c r="K78" s="1420"/>
      <c r="L78" s="1420">
        <f t="shared" si="35"/>
        <v>0</v>
      </c>
      <c r="M78" s="1419"/>
      <c r="N78" s="1420">
        <v>1245.4471544715445</v>
      </c>
      <c r="O78" s="1422">
        <f t="shared" si="36"/>
        <v>-1245.4471544715445</v>
      </c>
      <c r="P78" s="1422"/>
      <c r="Q78" s="1422">
        <v>334.36</v>
      </c>
      <c r="R78" s="1422">
        <f t="shared" si="37"/>
        <v>-334.36</v>
      </c>
      <c r="S78" s="1422"/>
      <c r="T78" s="1422"/>
      <c r="U78" s="1422">
        <f t="shared" si="28"/>
        <v>0</v>
      </c>
      <c r="V78" s="1422">
        <v>0</v>
      </c>
      <c r="W78" s="1422">
        <v>0</v>
      </c>
      <c r="X78" s="1422">
        <f t="shared" si="29"/>
        <v>0</v>
      </c>
      <c r="Y78" s="1423">
        <f t="shared" si="30"/>
        <v>3680</v>
      </c>
      <c r="Z78" s="1424">
        <f t="shared" si="31"/>
        <v>20732.497154471544</v>
      </c>
      <c r="AA78" s="1425">
        <f t="shared" si="32"/>
        <v>-17052.497154471544</v>
      </c>
      <c r="AB78" s="1426">
        <f>+AA78/Y78</f>
        <v>-4.6338307484977026</v>
      </c>
      <c r="AC78" s="1427" t="s">
        <v>917</v>
      </c>
    </row>
    <row r="79" spans="1:29" x14ac:dyDescent="0.2">
      <c r="A79" s="1416" t="s">
        <v>935</v>
      </c>
      <c r="B79" s="1440" t="s">
        <v>936</v>
      </c>
      <c r="C79" s="1416" t="s">
        <v>855</v>
      </c>
      <c r="D79" s="1419">
        <v>450</v>
      </c>
      <c r="E79" s="1420">
        <v>2985.27</v>
      </c>
      <c r="F79" s="1420">
        <f t="shared" si="33"/>
        <v>-2535.27</v>
      </c>
      <c r="G79" s="1419"/>
      <c r="H79" s="1419">
        <v>251.87</v>
      </c>
      <c r="I79" s="1421">
        <f t="shared" si="34"/>
        <v>-251.87</v>
      </c>
      <c r="J79" s="1419"/>
      <c r="K79" s="1420"/>
      <c r="L79" s="1420">
        <f t="shared" si="35"/>
        <v>0</v>
      </c>
      <c r="M79" s="1419">
        <v>450</v>
      </c>
      <c r="N79" s="1420"/>
      <c r="O79" s="1422">
        <f t="shared" si="36"/>
        <v>450</v>
      </c>
      <c r="P79" s="1422"/>
      <c r="Q79" s="1422"/>
      <c r="R79" s="1422">
        <f t="shared" si="37"/>
        <v>0</v>
      </c>
      <c r="S79" s="1422"/>
      <c r="T79" s="1422"/>
      <c r="U79" s="1422">
        <f t="shared" si="28"/>
        <v>0</v>
      </c>
      <c r="V79" s="1422">
        <v>0</v>
      </c>
      <c r="W79" s="1422">
        <v>0</v>
      </c>
      <c r="X79" s="1422">
        <f t="shared" si="29"/>
        <v>0</v>
      </c>
      <c r="Y79" s="1423">
        <f t="shared" si="30"/>
        <v>900</v>
      </c>
      <c r="Z79" s="1424">
        <f t="shared" si="31"/>
        <v>3237.14</v>
      </c>
      <c r="AA79" s="1425">
        <f t="shared" si="32"/>
        <v>-2337.14</v>
      </c>
      <c r="AB79" s="1426">
        <f>+AA79/Y79</f>
        <v>-2.5968222222222219</v>
      </c>
      <c r="AC79" s="1427" t="s">
        <v>1076</v>
      </c>
    </row>
    <row r="80" spans="1:29" x14ac:dyDescent="0.2">
      <c r="A80" s="1416" t="s">
        <v>937</v>
      </c>
      <c r="B80" s="1440" t="s">
        <v>838</v>
      </c>
      <c r="C80" s="1416" t="s">
        <v>855</v>
      </c>
      <c r="D80" s="1419"/>
      <c r="E80" s="1420">
        <v>24302.99</v>
      </c>
      <c r="F80" s="1420">
        <f t="shared" si="33"/>
        <v>-24302.99</v>
      </c>
      <c r="G80" s="1419"/>
      <c r="H80" s="1419"/>
      <c r="I80" s="1421">
        <f t="shared" si="34"/>
        <v>0</v>
      </c>
      <c r="J80" s="1419"/>
      <c r="K80" s="1420"/>
      <c r="L80" s="1420">
        <f t="shared" si="35"/>
        <v>0</v>
      </c>
      <c r="M80" s="1419"/>
      <c r="N80" s="1448"/>
      <c r="O80" s="1422">
        <f t="shared" si="36"/>
        <v>0</v>
      </c>
      <c r="P80" s="1422"/>
      <c r="Q80" s="1422"/>
      <c r="R80" s="1422">
        <f t="shared" si="37"/>
        <v>0</v>
      </c>
      <c r="S80" s="1422"/>
      <c r="T80" s="1422"/>
      <c r="U80" s="1422">
        <f t="shared" si="28"/>
        <v>0</v>
      </c>
      <c r="V80" s="1422">
        <v>0</v>
      </c>
      <c r="W80" s="1422">
        <v>0</v>
      </c>
      <c r="X80" s="1422">
        <f t="shared" si="29"/>
        <v>0</v>
      </c>
      <c r="Y80" s="1423">
        <f t="shared" si="30"/>
        <v>0</v>
      </c>
      <c r="Z80" s="1424">
        <f t="shared" si="31"/>
        <v>24302.99</v>
      </c>
      <c r="AA80" s="1425">
        <f t="shared" si="32"/>
        <v>-24302.99</v>
      </c>
      <c r="AB80" s="1426">
        <v>0</v>
      </c>
      <c r="AC80" s="1427"/>
    </row>
    <row r="81" spans="1:29" ht="28.5" customHeight="1" x14ac:dyDescent="0.2">
      <c r="A81" s="2744" t="s">
        <v>938</v>
      </c>
      <c r="B81" s="2745"/>
      <c r="C81" s="1416"/>
      <c r="D81" s="1434"/>
      <c r="E81" s="1435"/>
      <c r="F81" s="1420">
        <f t="shared" si="33"/>
        <v>0</v>
      </c>
      <c r="G81" s="1434"/>
      <c r="H81" s="1434"/>
      <c r="I81" s="1421"/>
      <c r="J81" s="1434"/>
      <c r="K81" s="1435"/>
      <c r="L81" s="1420"/>
      <c r="M81" s="1434"/>
      <c r="N81" s="1435"/>
      <c r="O81" s="1422"/>
      <c r="P81" s="1422"/>
      <c r="Q81" s="1422"/>
      <c r="R81" s="1422"/>
      <c r="S81" s="1422"/>
      <c r="T81" s="1422"/>
      <c r="U81" s="1422">
        <f t="shared" si="28"/>
        <v>0</v>
      </c>
      <c r="V81" s="1422">
        <v>0</v>
      </c>
      <c r="W81" s="1422">
        <v>0</v>
      </c>
      <c r="X81" s="1422">
        <f t="shared" si="29"/>
        <v>0</v>
      </c>
      <c r="Y81" s="1423">
        <f t="shared" si="30"/>
        <v>0</v>
      </c>
      <c r="Z81" s="1424">
        <f t="shared" si="31"/>
        <v>0</v>
      </c>
      <c r="AA81" s="1425">
        <f t="shared" si="32"/>
        <v>0</v>
      </c>
      <c r="AB81" s="1426"/>
      <c r="AC81" s="1431"/>
    </row>
    <row r="82" spans="1:29" x14ac:dyDescent="0.2">
      <c r="A82" s="1416" t="s">
        <v>939</v>
      </c>
      <c r="B82" s="1457" t="s">
        <v>940</v>
      </c>
      <c r="C82" s="1416" t="s">
        <v>941</v>
      </c>
      <c r="D82" s="1419">
        <v>4000</v>
      </c>
      <c r="E82" s="1420"/>
      <c r="F82" s="1420">
        <f t="shared" si="33"/>
        <v>4000</v>
      </c>
      <c r="G82" s="1416"/>
      <c r="H82" s="1416"/>
      <c r="I82" s="1421">
        <f>+G82-H82</f>
        <v>0</v>
      </c>
      <c r="J82" s="1419"/>
      <c r="K82" s="1420"/>
      <c r="L82" s="1420">
        <f>+J82-K82</f>
        <v>0</v>
      </c>
      <c r="M82" s="1419"/>
      <c r="N82" s="1420"/>
      <c r="O82" s="1422">
        <f>+M82-N82</f>
        <v>0</v>
      </c>
      <c r="P82" s="1422"/>
      <c r="Q82" s="1422"/>
      <c r="R82" s="1422">
        <f>+P82-Q82</f>
        <v>0</v>
      </c>
      <c r="S82" s="1422"/>
      <c r="T82" s="1422"/>
      <c r="U82" s="1422">
        <f t="shared" si="28"/>
        <v>0</v>
      </c>
      <c r="V82" s="1422">
        <v>0</v>
      </c>
      <c r="W82" s="1422">
        <v>0</v>
      </c>
      <c r="X82" s="1422">
        <f t="shared" si="29"/>
        <v>0</v>
      </c>
      <c r="Y82" s="1423">
        <f t="shared" si="30"/>
        <v>4000</v>
      </c>
      <c r="Z82" s="1424">
        <f t="shared" si="31"/>
        <v>0</v>
      </c>
      <c r="AA82" s="1425">
        <f t="shared" si="32"/>
        <v>4000</v>
      </c>
      <c r="AB82" s="1426">
        <f>+AA82/Y82</f>
        <v>1</v>
      </c>
      <c r="AC82" s="1427" t="s">
        <v>942</v>
      </c>
    </row>
    <row r="83" spans="1:29" ht="24" x14ac:dyDescent="0.2">
      <c r="A83" s="1416" t="s">
        <v>943</v>
      </c>
      <c r="B83" s="1417" t="s">
        <v>944</v>
      </c>
      <c r="C83" s="1416" t="s">
        <v>941</v>
      </c>
      <c r="D83" s="1419"/>
      <c r="E83" s="1420"/>
      <c r="F83" s="1420">
        <f t="shared" si="33"/>
        <v>0</v>
      </c>
      <c r="G83" s="1419">
        <v>9000</v>
      </c>
      <c r="H83" s="1419"/>
      <c r="I83" s="1421">
        <f>+G83-H83</f>
        <v>9000</v>
      </c>
      <c r="J83" s="1419"/>
      <c r="K83" s="1420">
        <v>9000</v>
      </c>
      <c r="L83" s="1420">
        <f>+J83-K83</f>
        <v>-9000</v>
      </c>
      <c r="M83" s="1416"/>
      <c r="N83" s="1421"/>
      <c r="O83" s="1422">
        <f>+M83-N83</f>
        <v>0</v>
      </c>
      <c r="P83" s="1422"/>
      <c r="Q83" s="1422"/>
      <c r="R83" s="1422">
        <f>+P83-Q83</f>
        <v>0</v>
      </c>
      <c r="S83" s="1422"/>
      <c r="T83" s="1422"/>
      <c r="U83" s="1422">
        <f t="shared" si="28"/>
        <v>0</v>
      </c>
      <c r="V83" s="1422">
        <v>0</v>
      </c>
      <c r="W83" s="1422">
        <v>0</v>
      </c>
      <c r="X83" s="1422">
        <f t="shared" si="29"/>
        <v>0</v>
      </c>
      <c r="Y83" s="1423">
        <f t="shared" si="30"/>
        <v>9000</v>
      </c>
      <c r="Z83" s="1424">
        <f t="shared" si="31"/>
        <v>9000</v>
      </c>
      <c r="AA83" s="1425">
        <f t="shared" si="32"/>
        <v>0</v>
      </c>
      <c r="AB83" s="1426">
        <f>+AA83/Y83</f>
        <v>0</v>
      </c>
      <c r="AC83" s="1431"/>
    </row>
    <row r="84" spans="1:29" x14ac:dyDescent="0.2">
      <c r="A84" s="1416" t="s">
        <v>945</v>
      </c>
      <c r="B84" s="1457" t="s">
        <v>946</v>
      </c>
      <c r="C84" s="1416" t="s">
        <v>941</v>
      </c>
      <c r="D84" s="1419">
        <v>2700</v>
      </c>
      <c r="E84" s="1420"/>
      <c r="F84" s="1420">
        <f t="shared" si="33"/>
        <v>2700</v>
      </c>
      <c r="G84" s="1419"/>
      <c r="H84" s="1419"/>
      <c r="I84" s="1421">
        <f>+G84-H84</f>
        <v>0</v>
      </c>
      <c r="J84" s="1416"/>
      <c r="K84" s="1421"/>
      <c r="L84" s="1420">
        <f>+J84-K84</f>
        <v>0</v>
      </c>
      <c r="M84" s="1419"/>
      <c r="N84" s="1420"/>
      <c r="O84" s="1422">
        <f>+M84-N84</f>
        <v>0</v>
      </c>
      <c r="P84" s="1422"/>
      <c r="Q84" s="1422">
        <v>2738.03</v>
      </c>
      <c r="R84" s="1422">
        <f>+P84-Q84</f>
        <v>-2738.03</v>
      </c>
      <c r="S84" s="1422"/>
      <c r="T84" s="1422"/>
      <c r="U84" s="1422">
        <f t="shared" si="28"/>
        <v>0</v>
      </c>
      <c r="V84" s="1422">
        <v>0</v>
      </c>
      <c r="W84" s="1422">
        <v>0</v>
      </c>
      <c r="X84" s="1422">
        <f t="shared" si="29"/>
        <v>0</v>
      </c>
      <c r="Y84" s="1423">
        <f t="shared" si="30"/>
        <v>2700</v>
      </c>
      <c r="Z84" s="1424">
        <f t="shared" si="31"/>
        <v>2738.03</v>
      </c>
      <c r="AA84" s="1425">
        <f t="shared" si="32"/>
        <v>-38.0300000000002</v>
      </c>
      <c r="AB84" s="1426">
        <f>+AA84/Y84</f>
        <v>-1.408518518518526E-2</v>
      </c>
      <c r="AC84" s="1427"/>
    </row>
    <row r="85" spans="1:29" ht="23.45" customHeight="1" x14ac:dyDescent="0.2">
      <c r="A85" s="1416" t="s">
        <v>947</v>
      </c>
      <c r="B85" s="1457" t="s">
        <v>948</v>
      </c>
      <c r="C85" s="1416" t="s">
        <v>941</v>
      </c>
      <c r="D85" s="1416"/>
      <c r="E85" s="1421"/>
      <c r="F85" s="1420">
        <f t="shared" si="33"/>
        <v>0</v>
      </c>
      <c r="G85" s="1419">
        <v>4500</v>
      </c>
      <c r="H85" s="1419"/>
      <c r="I85" s="1421">
        <f>+G85-H85</f>
        <v>4500</v>
      </c>
      <c r="J85" s="1419"/>
      <c r="K85" s="1420">
        <v>4500</v>
      </c>
      <c r="L85" s="1420">
        <f>+J85-K85</f>
        <v>-4500</v>
      </c>
      <c r="M85" s="1419"/>
      <c r="N85" s="1420"/>
      <c r="O85" s="1422">
        <f>+M85-N85</f>
        <v>0</v>
      </c>
      <c r="P85" s="1422"/>
      <c r="Q85" s="1422">
        <f>-282.74+2950.82</f>
        <v>2668.08</v>
      </c>
      <c r="R85" s="1422">
        <f>+P85-Q85</f>
        <v>-2668.08</v>
      </c>
      <c r="S85" s="1422"/>
      <c r="T85" s="1422"/>
      <c r="U85" s="1422">
        <f t="shared" si="28"/>
        <v>0</v>
      </c>
      <c r="V85" s="1422">
        <v>0</v>
      </c>
      <c r="W85" s="1422">
        <v>0</v>
      </c>
      <c r="X85" s="1422">
        <f t="shared" si="29"/>
        <v>0</v>
      </c>
      <c r="Y85" s="1423">
        <f t="shared" si="30"/>
        <v>4500</v>
      </c>
      <c r="Z85" s="1424">
        <f t="shared" si="31"/>
        <v>7168.08</v>
      </c>
      <c r="AA85" s="1425">
        <f t="shared" si="32"/>
        <v>-2668.08</v>
      </c>
      <c r="AB85" s="1426">
        <f>+AA85/Y85</f>
        <v>-0.59290666666666669</v>
      </c>
      <c r="AC85" s="1427" t="s">
        <v>949</v>
      </c>
    </row>
    <row r="86" spans="1:29" ht="20.45" customHeight="1" x14ac:dyDescent="0.2">
      <c r="A86" s="2744" t="s">
        <v>950</v>
      </c>
      <c r="B86" s="2745"/>
      <c r="C86" s="1416"/>
      <c r="D86" s="1434"/>
      <c r="E86" s="1435"/>
      <c r="F86" s="1420">
        <f t="shared" si="33"/>
        <v>0</v>
      </c>
      <c r="G86" s="1434"/>
      <c r="H86" s="1434"/>
      <c r="I86" s="1421"/>
      <c r="J86" s="1434"/>
      <c r="K86" s="1435"/>
      <c r="L86" s="1420"/>
      <c r="M86" s="1434"/>
      <c r="N86" s="1435"/>
      <c r="O86" s="1422"/>
      <c r="P86" s="1422"/>
      <c r="Q86" s="1422"/>
      <c r="R86" s="1422"/>
      <c r="S86" s="1422"/>
      <c r="T86" s="1422"/>
      <c r="U86" s="1422">
        <f t="shared" si="28"/>
        <v>0</v>
      </c>
      <c r="V86" s="1422">
        <v>0</v>
      </c>
      <c r="W86" s="1422">
        <v>0</v>
      </c>
      <c r="X86" s="1422">
        <f t="shared" si="29"/>
        <v>0</v>
      </c>
      <c r="Y86" s="1423">
        <f t="shared" si="30"/>
        <v>0</v>
      </c>
      <c r="Z86" s="1424">
        <f t="shared" si="31"/>
        <v>0</v>
      </c>
      <c r="AA86" s="1425">
        <f t="shared" si="32"/>
        <v>0</v>
      </c>
      <c r="AB86" s="1426">
        <v>0</v>
      </c>
      <c r="AC86" s="1431"/>
    </row>
    <row r="87" spans="1:29" x14ac:dyDescent="0.2">
      <c r="A87" s="1416" t="s">
        <v>951</v>
      </c>
      <c r="B87" s="1440" t="s">
        <v>952</v>
      </c>
      <c r="C87" s="1416" t="s">
        <v>855</v>
      </c>
      <c r="D87" s="1419">
        <v>1950</v>
      </c>
      <c r="E87" s="1420">
        <v>868.81</v>
      </c>
      <c r="F87" s="1420">
        <f t="shared" si="33"/>
        <v>1081.19</v>
      </c>
      <c r="G87" s="1419">
        <v>1950</v>
      </c>
      <c r="H87" s="1419"/>
      <c r="I87" s="1421">
        <f t="shared" ref="I87:I94" si="38">+G87-H87</f>
        <v>1950</v>
      </c>
      <c r="J87" s="1419">
        <v>1950</v>
      </c>
      <c r="K87" s="1420"/>
      <c r="L87" s="1420">
        <f t="shared" ref="L87:L94" si="39">+J87-K87</f>
        <v>1950</v>
      </c>
      <c r="M87" s="1419">
        <v>1950</v>
      </c>
      <c r="N87" s="1420">
        <v>0</v>
      </c>
      <c r="O87" s="1422">
        <f t="shared" ref="O87:O94" si="40">+M87-N87</f>
        <v>1950</v>
      </c>
      <c r="P87" s="1422">
        <v>6000</v>
      </c>
      <c r="Q87" s="1422">
        <v>632.77</v>
      </c>
      <c r="R87" s="1422">
        <f t="shared" ref="R87:R94" si="41">+P87-Q87</f>
        <v>5367.23</v>
      </c>
      <c r="S87" s="1422">
        <v>6000</v>
      </c>
      <c r="T87" s="1422">
        <f>7182.74+2942.69</f>
        <v>10125.43</v>
      </c>
      <c r="U87" s="1422">
        <f t="shared" si="28"/>
        <v>-4125.43</v>
      </c>
      <c r="V87" s="1422">
        <v>6000</v>
      </c>
      <c r="W87" s="1422">
        <v>2012.8719418117701</v>
      </c>
      <c r="X87" s="1422">
        <f t="shared" si="29"/>
        <v>3987.1280581882302</v>
      </c>
      <c r="Y87" s="1423">
        <f t="shared" si="30"/>
        <v>25800</v>
      </c>
      <c r="Z87" s="1424">
        <f t="shared" si="31"/>
        <v>13639.881941811771</v>
      </c>
      <c r="AA87" s="1425">
        <f t="shared" si="32"/>
        <v>12160.118058188229</v>
      </c>
      <c r="AB87" s="1426">
        <f t="shared" ref="AB87:AB92" si="42">+AA87/Y87</f>
        <v>0.4713224053561329</v>
      </c>
      <c r="AC87" s="1427" t="s">
        <v>953</v>
      </c>
    </row>
    <row r="88" spans="1:29" x14ac:dyDescent="0.2">
      <c r="A88" s="1416" t="s">
        <v>954</v>
      </c>
      <c r="B88" s="1417" t="s">
        <v>955</v>
      </c>
      <c r="C88" s="1416" t="s">
        <v>855</v>
      </c>
      <c r="D88" s="1419">
        <v>25000</v>
      </c>
      <c r="E88" s="1420"/>
      <c r="F88" s="1420">
        <f t="shared" si="33"/>
        <v>25000</v>
      </c>
      <c r="G88" s="1419">
        <v>25000</v>
      </c>
      <c r="H88" s="1419"/>
      <c r="I88" s="1421">
        <f t="shared" si="38"/>
        <v>25000</v>
      </c>
      <c r="J88" s="1419"/>
      <c r="K88" s="1420"/>
      <c r="L88" s="1420">
        <f t="shared" si="39"/>
        <v>0</v>
      </c>
      <c r="M88" s="1419"/>
      <c r="N88" s="1420">
        <v>758.34403080872914</v>
      </c>
      <c r="O88" s="1422">
        <f t="shared" si="40"/>
        <v>-758.34403080872914</v>
      </c>
      <c r="P88" s="1422"/>
      <c r="Q88" s="1422"/>
      <c r="R88" s="1422">
        <f t="shared" si="41"/>
        <v>0</v>
      </c>
      <c r="S88" s="1422"/>
      <c r="T88" s="1422">
        <v>25532.34</v>
      </c>
      <c r="U88" s="1422">
        <f t="shared" si="28"/>
        <v>-25532.34</v>
      </c>
      <c r="V88" s="1422"/>
      <c r="W88" s="1422">
        <v>1215.8254353096761</v>
      </c>
      <c r="X88" s="1422">
        <f t="shared" si="29"/>
        <v>-1215.8254353096761</v>
      </c>
      <c r="Y88" s="1423">
        <f t="shared" si="30"/>
        <v>50000</v>
      </c>
      <c r="Z88" s="1424">
        <f t="shared" si="31"/>
        <v>27506.509466118405</v>
      </c>
      <c r="AA88" s="1425">
        <f t="shared" si="32"/>
        <v>22493.490533881595</v>
      </c>
      <c r="AB88" s="1426">
        <f t="shared" si="42"/>
        <v>0.44986981067763188</v>
      </c>
      <c r="AC88" s="1427" t="s">
        <v>919</v>
      </c>
    </row>
    <row r="89" spans="1:29" x14ac:dyDescent="0.2">
      <c r="A89" s="1416" t="s">
        <v>956</v>
      </c>
      <c r="B89" s="1417" t="s">
        <v>936</v>
      </c>
      <c r="C89" s="1416" t="s">
        <v>855</v>
      </c>
      <c r="D89" s="1419">
        <v>1251</v>
      </c>
      <c r="E89" s="1420">
        <v>6010.32</v>
      </c>
      <c r="F89" s="1420">
        <f t="shared" si="33"/>
        <v>-4759.32</v>
      </c>
      <c r="G89" s="1419">
        <v>1251</v>
      </c>
      <c r="H89" s="1419">
        <v>32.19</v>
      </c>
      <c r="I89" s="1421">
        <f t="shared" si="38"/>
        <v>1218.81</v>
      </c>
      <c r="J89" s="1419">
        <v>1251</v>
      </c>
      <c r="K89" s="1420">
        <v>946.73</v>
      </c>
      <c r="L89" s="1420">
        <f t="shared" si="39"/>
        <v>304.27</v>
      </c>
      <c r="M89" s="1419">
        <v>1251</v>
      </c>
      <c r="N89" s="1420">
        <v>408.9430894308943</v>
      </c>
      <c r="O89" s="1422">
        <f t="shared" si="40"/>
        <v>842.05691056910564</v>
      </c>
      <c r="P89" s="1422">
        <v>2460</v>
      </c>
      <c r="Q89" s="1422">
        <v>751.67</v>
      </c>
      <c r="R89" s="1422">
        <f t="shared" si="41"/>
        <v>1708.33</v>
      </c>
      <c r="S89" s="1422">
        <v>2460</v>
      </c>
      <c r="T89" s="1422">
        <v>1933.22</v>
      </c>
      <c r="U89" s="1422">
        <f t="shared" si="28"/>
        <v>526.78</v>
      </c>
      <c r="V89" s="1422">
        <v>2460</v>
      </c>
      <c r="W89" s="1422">
        <v>1881.4635221512012</v>
      </c>
      <c r="X89" s="1422">
        <f t="shared" si="29"/>
        <v>578.53647784879877</v>
      </c>
      <c r="Y89" s="1423">
        <f t="shared" si="30"/>
        <v>12384</v>
      </c>
      <c r="Z89" s="1424">
        <f t="shared" si="31"/>
        <v>11964.536611582096</v>
      </c>
      <c r="AA89" s="1425">
        <f t="shared" si="32"/>
        <v>419.46338841790384</v>
      </c>
      <c r="AB89" s="1426">
        <f t="shared" si="42"/>
        <v>3.3871397643564588E-2</v>
      </c>
      <c r="AC89" s="1427"/>
    </row>
    <row r="90" spans="1:29" ht="24" x14ac:dyDescent="0.2">
      <c r="A90" s="1461" t="s">
        <v>957</v>
      </c>
      <c r="B90" s="1462" t="s">
        <v>958</v>
      </c>
      <c r="C90" s="1416" t="s">
        <v>855</v>
      </c>
      <c r="D90" s="1419">
        <v>8100</v>
      </c>
      <c r="E90" s="1420">
        <v>3587.12</v>
      </c>
      <c r="F90" s="1420">
        <f t="shared" si="33"/>
        <v>4512.88</v>
      </c>
      <c r="G90" s="1419"/>
      <c r="H90" s="1419"/>
      <c r="I90" s="1421">
        <f t="shared" si="38"/>
        <v>0</v>
      </c>
      <c r="J90" s="1419">
        <v>8100</v>
      </c>
      <c r="K90" s="1420"/>
      <c r="L90" s="1420">
        <f t="shared" si="39"/>
        <v>8100</v>
      </c>
      <c r="M90" s="1419"/>
      <c r="N90" s="1420">
        <v>7544.0842961061189</v>
      </c>
      <c r="O90" s="1422">
        <f t="shared" si="40"/>
        <v>-7544.0842961061189</v>
      </c>
      <c r="P90" s="1422">
        <v>5310</v>
      </c>
      <c r="Q90" s="1422">
        <v>4160.16</v>
      </c>
      <c r="R90" s="1422">
        <f t="shared" si="41"/>
        <v>1149.8400000000001</v>
      </c>
      <c r="S90" s="1422">
        <v>4950</v>
      </c>
      <c r="T90" s="1422">
        <v>1064.44</v>
      </c>
      <c r="U90" s="1422">
        <f t="shared" si="28"/>
        <v>3885.56</v>
      </c>
      <c r="V90" s="1422">
        <v>5310</v>
      </c>
      <c r="W90" s="1422">
        <v>8284.4390566453603</v>
      </c>
      <c r="X90" s="1422">
        <f t="shared" si="29"/>
        <v>-2974.4390566453603</v>
      </c>
      <c r="Y90" s="1423">
        <f t="shared" si="30"/>
        <v>31770</v>
      </c>
      <c r="Z90" s="1424">
        <f t="shared" si="31"/>
        <v>24640.24335275148</v>
      </c>
      <c r="AA90" s="1425">
        <f t="shared" si="32"/>
        <v>7129.7566472485196</v>
      </c>
      <c r="AB90" s="1426">
        <f t="shared" si="42"/>
        <v>0.22441789887467797</v>
      </c>
      <c r="AC90" s="1431" t="s">
        <v>882</v>
      </c>
    </row>
    <row r="91" spans="1:29" x14ac:dyDescent="0.2">
      <c r="A91" s="1416" t="s">
        <v>959</v>
      </c>
      <c r="B91" s="1417" t="s">
        <v>960</v>
      </c>
      <c r="C91" s="1416" t="s">
        <v>855</v>
      </c>
      <c r="D91" s="1419"/>
      <c r="E91" s="1420"/>
      <c r="F91" s="1420">
        <f t="shared" si="33"/>
        <v>0</v>
      </c>
      <c r="G91" s="1419">
        <v>4580</v>
      </c>
      <c r="H91" s="1419">
        <v>133.58000000000001</v>
      </c>
      <c r="I91" s="1421">
        <f t="shared" si="38"/>
        <v>4446.42</v>
      </c>
      <c r="J91" s="1419"/>
      <c r="K91" s="1420"/>
      <c r="L91" s="1420">
        <f t="shared" si="39"/>
        <v>0</v>
      </c>
      <c r="M91" s="1416"/>
      <c r="N91" s="1421">
        <v>4711.4088575096275</v>
      </c>
      <c r="O91" s="1422">
        <f t="shared" si="40"/>
        <v>-4711.4088575096275</v>
      </c>
      <c r="P91" s="1422"/>
      <c r="Q91" s="1422"/>
      <c r="R91" s="1422">
        <f t="shared" si="41"/>
        <v>0</v>
      </c>
      <c r="S91" s="1422"/>
      <c r="T91" s="1422"/>
      <c r="U91" s="1422">
        <f t="shared" si="28"/>
        <v>0</v>
      </c>
      <c r="V91" s="1422">
        <v>0</v>
      </c>
      <c r="W91" s="1422">
        <v>0</v>
      </c>
      <c r="X91" s="1422">
        <f t="shared" si="29"/>
        <v>0</v>
      </c>
      <c r="Y91" s="1423">
        <f t="shared" si="30"/>
        <v>4580</v>
      </c>
      <c r="Z91" s="1424">
        <f t="shared" si="31"/>
        <v>4844.9888575096275</v>
      </c>
      <c r="AA91" s="1425">
        <f t="shared" si="32"/>
        <v>-264.98885750962745</v>
      </c>
      <c r="AB91" s="1426">
        <f t="shared" si="42"/>
        <v>-5.7857829150573678E-2</v>
      </c>
      <c r="AC91" s="1431" t="s">
        <v>961</v>
      </c>
    </row>
    <row r="92" spans="1:29" x14ac:dyDescent="0.2">
      <c r="A92" s="1416" t="s">
        <v>962</v>
      </c>
      <c r="B92" s="1417" t="s">
        <v>963</v>
      </c>
      <c r="C92" s="1416" t="s">
        <v>855</v>
      </c>
      <c r="D92" s="1419">
        <v>270</v>
      </c>
      <c r="E92" s="1420"/>
      <c r="F92" s="1420">
        <f t="shared" si="33"/>
        <v>270</v>
      </c>
      <c r="G92" s="1419">
        <v>270</v>
      </c>
      <c r="H92" s="1419"/>
      <c r="I92" s="1421">
        <f t="shared" si="38"/>
        <v>270</v>
      </c>
      <c r="J92" s="1419">
        <v>270</v>
      </c>
      <c r="K92" s="1420">
        <v>928.06</v>
      </c>
      <c r="L92" s="1420">
        <f t="shared" si="39"/>
        <v>-658.06</v>
      </c>
      <c r="M92" s="1419">
        <v>270</v>
      </c>
      <c r="N92" s="1420">
        <v>84.082156611039792</v>
      </c>
      <c r="O92" s="1422">
        <f t="shared" si="40"/>
        <v>185.91784338896019</v>
      </c>
      <c r="P92" s="1422"/>
      <c r="Q92" s="1422">
        <v>54.5</v>
      </c>
      <c r="R92" s="1422">
        <f t="shared" si="41"/>
        <v>-54.5</v>
      </c>
      <c r="S92" s="1422"/>
      <c r="T92" s="1422"/>
      <c r="U92" s="1422">
        <f t="shared" si="28"/>
        <v>0</v>
      </c>
      <c r="V92" s="1422">
        <v>0</v>
      </c>
      <c r="W92" s="1422">
        <v>0</v>
      </c>
      <c r="X92" s="1422">
        <f t="shared" si="29"/>
        <v>0</v>
      </c>
      <c r="Y92" s="1423">
        <f t="shared" si="30"/>
        <v>1080</v>
      </c>
      <c r="Z92" s="1424">
        <f t="shared" si="31"/>
        <v>1066.6421566110398</v>
      </c>
      <c r="AA92" s="1425">
        <f t="shared" si="32"/>
        <v>13.357843388960191</v>
      </c>
      <c r="AB92" s="1426">
        <f t="shared" si="42"/>
        <v>1.2368373508296473E-2</v>
      </c>
      <c r="AC92" s="1431" t="s">
        <v>961</v>
      </c>
    </row>
    <row r="93" spans="1:29" x14ac:dyDescent="0.2">
      <c r="A93" s="1416" t="s">
        <v>964</v>
      </c>
      <c r="B93" s="1417" t="s">
        <v>965</v>
      </c>
      <c r="C93" s="1416" t="s">
        <v>855</v>
      </c>
      <c r="D93" s="1419"/>
      <c r="E93" s="1420">
        <f>1091.18+191.79</f>
        <v>1282.97</v>
      </c>
      <c r="F93" s="1420">
        <f t="shared" si="33"/>
        <v>-1282.97</v>
      </c>
      <c r="G93" s="1419"/>
      <c r="H93" s="1419">
        <v>2467.62</v>
      </c>
      <c r="I93" s="1421">
        <f t="shared" si="38"/>
        <v>-2467.62</v>
      </c>
      <c r="J93" s="1419"/>
      <c r="K93" s="1420"/>
      <c r="L93" s="1420">
        <f t="shared" si="39"/>
        <v>0</v>
      </c>
      <c r="M93" s="1419"/>
      <c r="N93" s="1448"/>
      <c r="O93" s="1422">
        <f t="shared" si="40"/>
        <v>0</v>
      </c>
      <c r="P93" s="1422"/>
      <c r="Q93" s="1422"/>
      <c r="R93" s="1422">
        <f t="shared" si="41"/>
        <v>0</v>
      </c>
      <c r="S93" s="1422"/>
      <c r="T93" s="1422"/>
      <c r="U93" s="1422">
        <f t="shared" si="28"/>
        <v>0</v>
      </c>
      <c r="V93" s="1422">
        <v>0</v>
      </c>
      <c r="W93" s="1422">
        <v>0</v>
      </c>
      <c r="X93" s="1422">
        <f t="shared" si="29"/>
        <v>0</v>
      </c>
      <c r="Y93" s="1423">
        <f t="shared" si="30"/>
        <v>0</v>
      </c>
      <c r="Z93" s="1424">
        <f t="shared" si="31"/>
        <v>3750.59</v>
      </c>
      <c r="AA93" s="1425">
        <f t="shared" si="32"/>
        <v>-3750.59</v>
      </c>
      <c r="AB93" s="1426">
        <v>0</v>
      </c>
      <c r="AC93" s="1427"/>
    </row>
    <row r="94" spans="1:29" ht="24" x14ac:dyDescent="0.2">
      <c r="A94" s="1416" t="s">
        <v>966</v>
      </c>
      <c r="B94" s="1417" t="s">
        <v>967</v>
      </c>
      <c r="C94" s="1416" t="s">
        <v>855</v>
      </c>
      <c r="D94" s="1419"/>
      <c r="E94" s="1420">
        <v>16661.599999999999</v>
      </c>
      <c r="F94" s="1420">
        <f t="shared" si="33"/>
        <v>-16661.599999999999</v>
      </c>
      <c r="G94" s="1419"/>
      <c r="H94" s="1419">
        <v>29070.62</v>
      </c>
      <c r="I94" s="1421">
        <f t="shared" si="38"/>
        <v>-29070.62</v>
      </c>
      <c r="J94" s="1419"/>
      <c r="K94" s="1420"/>
      <c r="L94" s="1420">
        <f t="shared" si="39"/>
        <v>0</v>
      </c>
      <c r="M94" s="1419"/>
      <c r="N94" s="1448"/>
      <c r="O94" s="1422">
        <f t="shared" si="40"/>
        <v>0</v>
      </c>
      <c r="P94" s="1422"/>
      <c r="Q94" s="1422"/>
      <c r="R94" s="1422">
        <f t="shared" si="41"/>
        <v>0</v>
      </c>
      <c r="S94" s="1422"/>
      <c r="T94" s="1422"/>
      <c r="U94" s="1422">
        <f t="shared" si="28"/>
        <v>0</v>
      </c>
      <c r="V94" s="1422">
        <v>0</v>
      </c>
      <c r="W94" s="1422">
        <v>0</v>
      </c>
      <c r="X94" s="1422">
        <f t="shared" si="29"/>
        <v>0</v>
      </c>
      <c r="Y94" s="1423">
        <f t="shared" si="30"/>
        <v>0</v>
      </c>
      <c r="Z94" s="1424">
        <f t="shared" si="31"/>
        <v>45732.22</v>
      </c>
      <c r="AA94" s="1425">
        <f t="shared" si="32"/>
        <v>-45732.22</v>
      </c>
      <c r="AB94" s="1426">
        <v>0</v>
      </c>
      <c r="AC94" s="1427" t="s">
        <v>917</v>
      </c>
    </row>
    <row r="95" spans="1:29" ht="24.6" customHeight="1" x14ac:dyDescent="0.2">
      <c r="A95" s="2744" t="s">
        <v>968</v>
      </c>
      <c r="B95" s="2745"/>
      <c r="C95" s="1416"/>
      <c r="D95" s="1434"/>
      <c r="E95" s="1435"/>
      <c r="F95" s="1420"/>
      <c r="G95" s="1434"/>
      <c r="H95" s="1434"/>
      <c r="I95" s="1421"/>
      <c r="J95" s="1434"/>
      <c r="K95" s="1435"/>
      <c r="L95" s="1420"/>
      <c r="M95" s="1434"/>
      <c r="N95" s="1435"/>
      <c r="O95" s="1422"/>
      <c r="P95" s="1422"/>
      <c r="Q95" s="1422"/>
      <c r="R95" s="1422"/>
      <c r="S95" s="1422"/>
      <c r="T95" s="1422"/>
      <c r="U95" s="1422">
        <f t="shared" si="28"/>
        <v>0</v>
      </c>
      <c r="V95" s="1422">
        <v>0</v>
      </c>
      <c r="W95" s="1422">
        <v>0</v>
      </c>
      <c r="X95" s="1422">
        <f t="shared" si="29"/>
        <v>0</v>
      </c>
      <c r="Y95" s="1423">
        <f t="shared" si="30"/>
        <v>0</v>
      </c>
      <c r="Z95" s="1424">
        <f t="shared" si="31"/>
        <v>0</v>
      </c>
      <c r="AA95" s="1425">
        <f t="shared" si="32"/>
        <v>0</v>
      </c>
      <c r="AB95" s="1426">
        <v>0</v>
      </c>
      <c r="AC95" s="1431"/>
    </row>
    <row r="96" spans="1:29" x14ac:dyDescent="0.2">
      <c r="A96" s="1416" t="s">
        <v>969</v>
      </c>
      <c r="B96" s="1417" t="s">
        <v>970</v>
      </c>
      <c r="C96" s="1416" t="s">
        <v>855</v>
      </c>
      <c r="D96" s="1419">
        <v>11210</v>
      </c>
      <c r="E96" s="1420"/>
      <c r="F96" s="1420">
        <f>+D96-E96</f>
        <v>11210</v>
      </c>
      <c r="G96" s="1416"/>
      <c r="H96" s="1416"/>
      <c r="I96" s="1421">
        <f>+G96-H96</f>
        <v>0</v>
      </c>
      <c r="J96" s="1434"/>
      <c r="K96" s="1420">
        <v>14302.44</v>
      </c>
      <c r="L96" s="1420">
        <f>+J96-K96</f>
        <v>-14302.44</v>
      </c>
      <c r="M96" s="1434"/>
      <c r="N96" s="1420">
        <v>1350.5776636713736</v>
      </c>
      <c r="O96" s="1422">
        <f>+M96-N96</f>
        <v>-1350.5776636713736</v>
      </c>
      <c r="P96" s="1422"/>
      <c r="Q96" s="1422"/>
      <c r="R96" s="1422"/>
      <c r="S96" s="1422"/>
      <c r="T96" s="1422"/>
      <c r="U96" s="1422">
        <f t="shared" si="28"/>
        <v>0</v>
      </c>
      <c r="V96" s="1422">
        <v>0</v>
      </c>
      <c r="W96" s="1422">
        <v>0</v>
      </c>
      <c r="X96" s="1422">
        <f t="shared" si="29"/>
        <v>0</v>
      </c>
      <c r="Y96" s="1423">
        <f t="shared" si="30"/>
        <v>11210</v>
      </c>
      <c r="Z96" s="1424">
        <f t="shared" si="31"/>
        <v>15653.017663671373</v>
      </c>
      <c r="AA96" s="1425">
        <f t="shared" si="32"/>
        <v>-4443.0176636713732</v>
      </c>
      <c r="AB96" s="1426">
        <f>+AA96/Y96</f>
        <v>-0.3963441270001225</v>
      </c>
      <c r="AC96" s="1427" t="s">
        <v>971</v>
      </c>
    </row>
    <row r="97" spans="1:29" ht="18.600000000000001" customHeight="1" x14ac:dyDescent="0.2">
      <c r="A97" s="1416" t="s">
        <v>972</v>
      </c>
      <c r="B97" s="1440" t="s">
        <v>973</v>
      </c>
      <c r="C97" s="1416" t="s">
        <v>855</v>
      </c>
      <c r="D97" s="1416"/>
      <c r="E97" s="1421">
        <v>17625.95</v>
      </c>
      <c r="F97" s="1420">
        <f>+D97-E97</f>
        <v>-17625.95</v>
      </c>
      <c r="G97" s="1419">
        <v>15000</v>
      </c>
      <c r="H97" s="1419">
        <v>3880.63</v>
      </c>
      <c r="I97" s="1421">
        <f>+G97-H97</f>
        <v>11119.369999999999</v>
      </c>
      <c r="J97" s="1434"/>
      <c r="K97" s="1435"/>
      <c r="L97" s="1420">
        <f>+J97-K97</f>
        <v>0</v>
      </c>
      <c r="M97" s="1416"/>
      <c r="N97" s="1421">
        <v>15000</v>
      </c>
      <c r="O97" s="1422">
        <f>+M97-N97</f>
        <v>-15000</v>
      </c>
      <c r="P97" s="1422"/>
      <c r="Q97" s="1422"/>
      <c r="R97" s="1422"/>
      <c r="S97" s="1422"/>
      <c r="T97" s="1422"/>
      <c r="U97" s="1422">
        <f t="shared" si="28"/>
        <v>0</v>
      </c>
      <c r="V97" s="1422">
        <v>0</v>
      </c>
      <c r="W97" s="1422">
        <v>0</v>
      </c>
      <c r="X97" s="1422">
        <f t="shared" si="29"/>
        <v>0</v>
      </c>
      <c r="Y97" s="1423">
        <f t="shared" si="30"/>
        <v>15000</v>
      </c>
      <c r="Z97" s="1424">
        <f t="shared" si="31"/>
        <v>36506.58</v>
      </c>
      <c r="AA97" s="1425">
        <f t="shared" si="32"/>
        <v>-21506.58</v>
      </c>
      <c r="AB97" s="1426">
        <f>+AA97/Y97</f>
        <v>-1.433772</v>
      </c>
      <c r="AC97" s="1427" t="s">
        <v>971</v>
      </c>
    </row>
    <row r="98" spans="1:29" ht="27.95" customHeight="1" x14ac:dyDescent="0.2">
      <c r="A98" s="2744" t="s">
        <v>974</v>
      </c>
      <c r="B98" s="2745"/>
      <c r="C98" s="1416"/>
      <c r="D98" s="1434"/>
      <c r="E98" s="1435"/>
      <c r="F98" s="1420">
        <f>+D98-E98</f>
        <v>0</v>
      </c>
      <c r="G98" s="1434"/>
      <c r="H98" s="1434"/>
      <c r="I98" s="1421"/>
      <c r="J98" s="1434"/>
      <c r="K98" s="1435"/>
      <c r="L98" s="1420"/>
      <c r="M98" s="1434"/>
      <c r="N98" s="1435"/>
      <c r="O98" s="1422"/>
      <c r="P98" s="1422"/>
      <c r="Q98" s="1422"/>
      <c r="R98" s="1422"/>
      <c r="S98" s="1422"/>
      <c r="T98" s="1422"/>
      <c r="U98" s="1422">
        <f t="shared" si="28"/>
        <v>0</v>
      </c>
      <c r="V98" s="1422">
        <v>0</v>
      </c>
      <c r="W98" s="1422">
        <v>0</v>
      </c>
      <c r="X98" s="1422">
        <f t="shared" si="29"/>
        <v>0</v>
      </c>
      <c r="Y98" s="1423">
        <f t="shared" si="30"/>
        <v>0</v>
      </c>
      <c r="Z98" s="1424">
        <f t="shared" si="31"/>
        <v>0</v>
      </c>
      <c r="AA98" s="1425">
        <f t="shared" si="32"/>
        <v>0</v>
      </c>
      <c r="AB98" s="1426">
        <v>0</v>
      </c>
      <c r="AC98" s="1431"/>
    </row>
    <row r="99" spans="1:29" ht="18.95" customHeight="1" x14ac:dyDescent="0.2">
      <c r="A99" s="1416" t="s">
        <v>975</v>
      </c>
      <c r="B99" s="1440" t="s">
        <v>976</v>
      </c>
      <c r="C99" s="1416" t="s">
        <v>855</v>
      </c>
      <c r="D99" s="1434"/>
      <c r="E99" s="1420">
        <f>2308.74+6180.51</f>
        <v>8489.25</v>
      </c>
      <c r="F99" s="1420">
        <f>+D99-E99</f>
        <v>-8489.25</v>
      </c>
      <c r="G99" s="1434"/>
      <c r="H99" s="1419">
        <v>3653.89</v>
      </c>
      <c r="I99" s="1421">
        <f>+G99-H99</f>
        <v>-3653.89</v>
      </c>
      <c r="J99" s="1419">
        <v>7930</v>
      </c>
      <c r="K99" s="1420"/>
      <c r="L99" s="1420">
        <f>+J99-K99</f>
        <v>7930</v>
      </c>
      <c r="M99" s="1416"/>
      <c r="N99" s="1421">
        <v>7930</v>
      </c>
      <c r="O99" s="1422">
        <f>+M99-N99</f>
        <v>-7930</v>
      </c>
      <c r="P99" s="1422"/>
      <c r="Q99" s="1422"/>
      <c r="R99" s="1422"/>
      <c r="S99" s="1422">
        <v>7650</v>
      </c>
      <c r="T99" s="1422"/>
      <c r="U99" s="1422">
        <f t="shared" si="28"/>
        <v>7650</v>
      </c>
      <c r="V99" s="1422">
        <v>0</v>
      </c>
      <c r="W99" s="1422">
        <v>0</v>
      </c>
      <c r="X99" s="1422">
        <f t="shared" si="29"/>
        <v>0</v>
      </c>
      <c r="Y99" s="1423">
        <f t="shared" si="30"/>
        <v>15580</v>
      </c>
      <c r="Z99" s="1424">
        <f t="shared" si="31"/>
        <v>20073.14</v>
      </c>
      <c r="AA99" s="1425">
        <f t="shared" si="32"/>
        <v>-4493.1399999999994</v>
      </c>
      <c r="AB99" s="1426">
        <f>+AA99/Y99</f>
        <v>-0.2883915275994865</v>
      </c>
      <c r="AC99" s="1427" t="s">
        <v>971</v>
      </c>
    </row>
    <row r="100" spans="1:29" ht="18.95" customHeight="1" x14ac:dyDescent="0.2">
      <c r="A100" s="1416" t="s">
        <v>977</v>
      </c>
      <c r="B100" s="1440" t="s">
        <v>978</v>
      </c>
      <c r="C100" s="1416"/>
      <c r="D100" s="1434"/>
      <c r="E100" s="1420"/>
      <c r="F100" s="1420"/>
      <c r="G100" s="1434"/>
      <c r="H100" s="1419"/>
      <c r="I100" s="1421"/>
      <c r="J100" s="1419"/>
      <c r="K100" s="1420"/>
      <c r="L100" s="1420"/>
      <c r="M100" s="1416"/>
      <c r="N100" s="1463"/>
      <c r="O100" s="1422"/>
      <c r="P100" s="1422"/>
      <c r="Q100" s="1422"/>
      <c r="R100" s="1422"/>
      <c r="S100" s="1422"/>
      <c r="T100" s="1422"/>
      <c r="U100" s="1422"/>
      <c r="V100" s="1422">
        <v>16679</v>
      </c>
      <c r="W100" s="1422">
        <v>666.12298875909198</v>
      </c>
      <c r="X100" s="1422">
        <f t="shared" si="29"/>
        <v>16012.877011240907</v>
      </c>
      <c r="Y100" s="1423">
        <f t="shared" si="30"/>
        <v>16679</v>
      </c>
      <c r="Z100" s="1424">
        <f t="shared" si="31"/>
        <v>666.12298875909198</v>
      </c>
      <c r="AA100" s="1425">
        <f t="shared" si="32"/>
        <v>16012.877011240907</v>
      </c>
      <c r="AB100" s="1426"/>
      <c r="AC100" s="1427"/>
    </row>
    <row r="101" spans="1:29" ht="24" x14ac:dyDescent="0.2">
      <c r="A101" s="1416" t="s">
        <v>979</v>
      </c>
      <c r="B101" s="1440" t="s">
        <v>980</v>
      </c>
      <c r="C101" s="1416" t="s">
        <v>855</v>
      </c>
      <c r="D101" s="1464"/>
      <c r="E101" s="1420">
        <v>27508.1</v>
      </c>
      <c r="F101" s="1420">
        <f>+D101-E101</f>
        <v>-27508.1</v>
      </c>
      <c r="G101" s="1434"/>
      <c r="H101" s="1434"/>
      <c r="I101" s="1421">
        <f>+G101-H101</f>
        <v>0</v>
      </c>
      <c r="J101" s="1419"/>
      <c r="K101" s="1420"/>
      <c r="L101" s="1420">
        <f>+J101-K101</f>
        <v>0</v>
      </c>
      <c r="M101" s="1416"/>
      <c r="N101" s="1463"/>
      <c r="O101" s="1422">
        <f>+M101-N101</f>
        <v>0</v>
      </c>
      <c r="P101" s="1422"/>
      <c r="Q101" s="1422"/>
      <c r="R101" s="1422"/>
      <c r="S101" s="1422"/>
      <c r="T101" s="1422"/>
      <c r="U101" s="1422">
        <f>+S101-T101</f>
        <v>0</v>
      </c>
      <c r="W101" s="1422">
        <v>0</v>
      </c>
      <c r="X101" s="1422">
        <f>+V101-W101</f>
        <v>0</v>
      </c>
      <c r="Y101" s="1423">
        <f t="shared" si="30"/>
        <v>0</v>
      </c>
      <c r="Z101" s="1424">
        <f t="shared" si="31"/>
        <v>27508.1</v>
      </c>
      <c r="AA101" s="1425">
        <f t="shared" si="32"/>
        <v>-27508.1</v>
      </c>
      <c r="AB101" s="1426">
        <v>0</v>
      </c>
      <c r="AC101" s="1427" t="s">
        <v>917</v>
      </c>
    </row>
    <row r="102" spans="1:29" ht="17.100000000000001" customHeight="1" x14ac:dyDescent="0.2">
      <c r="A102" s="2744" t="s">
        <v>981</v>
      </c>
      <c r="B102" s="2745"/>
      <c r="C102" s="1416"/>
      <c r="D102" s="1434"/>
      <c r="E102" s="1435"/>
      <c r="F102" s="1420">
        <f>+D102-E102</f>
        <v>0</v>
      </c>
      <c r="G102" s="1434"/>
      <c r="H102" s="1434"/>
      <c r="I102" s="1421"/>
      <c r="J102" s="1434"/>
      <c r="K102" s="1435"/>
      <c r="L102" s="1420"/>
      <c r="M102" s="1434"/>
      <c r="N102" s="1435"/>
      <c r="O102" s="1422"/>
      <c r="P102" s="1422"/>
      <c r="Q102" s="1422"/>
      <c r="R102" s="1422"/>
      <c r="S102" s="1422"/>
      <c r="T102" s="1422"/>
      <c r="U102" s="1422">
        <f>+S102-T102</f>
        <v>0</v>
      </c>
      <c r="V102" s="1422"/>
      <c r="W102" s="1422">
        <v>0</v>
      </c>
      <c r="X102" s="1422">
        <f>+V102-W102</f>
        <v>0</v>
      </c>
      <c r="Y102" s="1423">
        <f t="shared" si="30"/>
        <v>0</v>
      </c>
      <c r="Z102" s="1424">
        <f t="shared" si="31"/>
        <v>0</v>
      </c>
      <c r="AA102" s="1425">
        <f t="shared" si="32"/>
        <v>0</v>
      </c>
      <c r="AB102" s="1426">
        <v>0</v>
      </c>
      <c r="AC102" s="1431"/>
    </row>
    <row r="103" spans="1:29" ht="24.75" thickBot="1" x14ac:dyDescent="0.25">
      <c r="A103" s="1416">
        <v>3.1</v>
      </c>
      <c r="B103" s="1417" t="s">
        <v>982</v>
      </c>
      <c r="C103" s="1416" t="s">
        <v>855</v>
      </c>
      <c r="D103" s="1434"/>
      <c r="E103" s="1435"/>
      <c r="F103" s="1420">
        <f>+D103-E103</f>
        <v>0</v>
      </c>
      <c r="G103" s="1434"/>
      <c r="H103" s="1434">
        <v>13640.39</v>
      </c>
      <c r="I103" s="1421">
        <f>+G103-H103</f>
        <v>-13640.39</v>
      </c>
      <c r="J103" s="1465">
        <v>40419</v>
      </c>
      <c r="K103" s="1435"/>
      <c r="L103" s="1420">
        <f>+J103-K103</f>
        <v>40419</v>
      </c>
      <c r="M103" s="1434"/>
      <c r="N103" s="1435"/>
      <c r="O103" s="1422">
        <f>+M103-N103</f>
        <v>0</v>
      </c>
      <c r="P103" s="1422"/>
      <c r="Q103" s="1422"/>
      <c r="R103" s="1422"/>
      <c r="S103" s="1422"/>
      <c r="T103" s="1422"/>
      <c r="U103" s="1422">
        <f>+S103-T103</f>
        <v>0</v>
      </c>
      <c r="V103" s="1422">
        <v>0</v>
      </c>
      <c r="W103" s="1422">
        <v>15425.698479171258</v>
      </c>
      <c r="X103" s="1422">
        <f>+V103-W103</f>
        <v>-15425.698479171258</v>
      </c>
      <c r="Y103" s="1423">
        <f t="shared" si="30"/>
        <v>40419</v>
      </c>
      <c r="Z103" s="1424">
        <f t="shared" si="31"/>
        <v>29066.08847917126</v>
      </c>
      <c r="AA103" s="1425">
        <f t="shared" si="32"/>
        <v>11352.91152082874</v>
      </c>
      <c r="AB103" s="1426">
        <f>+AA103/Y103</f>
        <v>0.28088056411164897</v>
      </c>
      <c r="AC103" s="1427" t="s">
        <v>983</v>
      </c>
    </row>
    <row r="104" spans="1:29" ht="13.5" thickBot="1" x14ac:dyDescent="0.25">
      <c r="A104" s="1466"/>
      <c r="B104" s="1467" t="s">
        <v>984</v>
      </c>
      <c r="C104" s="1468"/>
      <c r="D104" s="1469">
        <f t="shared" ref="D104:AA104" si="43">SUM(D5:D103)</f>
        <v>170349.5</v>
      </c>
      <c r="E104" s="1469">
        <f t="shared" si="43"/>
        <v>206886.86000000002</v>
      </c>
      <c r="F104" s="1469">
        <f t="shared" si="43"/>
        <v>-36537.360000000001</v>
      </c>
      <c r="G104" s="1469">
        <f t="shared" si="43"/>
        <v>162429</v>
      </c>
      <c r="H104" s="1469">
        <f t="shared" si="43"/>
        <v>91862.890000000014</v>
      </c>
      <c r="I104" s="1469">
        <f t="shared" si="43"/>
        <v>70566.11</v>
      </c>
      <c r="J104" s="1469">
        <f t="shared" si="43"/>
        <v>159161</v>
      </c>
      <c r="K104" s="1469">
        <f t="shared" si="43"/>
        <v>169161.09000000003</v>
      </c>
      <c r="L104" s="1469">
        <f t="shared" si="43"/>
        <v>-10000.090000000011</v>
      </c>
      <c r="M104" s="1469">
        <f t="shared" si="43"/>
        <v>86999</v>
      </c>
      <c r="N104" s="1469">
        <f t="shared" si="43"/>
        <v>241587.89323919552</v>
      </c>
      <c r="O104" s="1469">
        <f t="shared" si="43"/>
        <v>-154588.89323919555</v>
      </c>
      <c r="P104" s="1469">
        <f t="shared" si="43"/>
        <v>132560.07</v>
      </c>
      <c r="Q104" s="1469">
        <f t="shared" si="43"/>
        <v>19009.239999999998</v>
      </c>
      <c r="R104" s="1469">
        <f t="shared" si="43"/>
        <v>113550.83000000002</v>
      </c>
      <c r="S104" s="1469">
        <f t="shared" si="43"/>
        <v>244572</v>
      </c>
      <c r="T104" s="1469">
        <f t="shared" si="43"/>
        <v>185602.93000000005</v>
      </c>
      <c r="U104" s="1469">
        <f t="shared" si="43"/>
        <v>58969.069999999949</v>
      </c>
      <c r="V104" s="1469">
        <f t="shared" si="43"/>
        <v>108107</v>
      </c>
      <c r="W104" s="1469">
        <f t="shared" si="43"/>
        <v>115734.66916464624</v>
      </c>
      <c r="X104" s="1469">
        <f t="shared" si="43"/>
        <v>-7627.6691646462459</v>
      </c>
      <c r="Y104" s="1469">
        <f t="shared" si="43"/>
        <v>1064177.57</v>
      </c>
      <c r="Z104" s="1469">
        <f t="shared" si="43"/>
        <v>1029845.5724038421</v>
      </c>
      <c r="AA104" s="1469">
        <f t="shared" si="43"/>
        <v>34331.997596158173</v>
      </c>
      <c r="AB104" s="1426">
        <f>+AA104/Y104</f>
        <v>3.2261530936193453E-2</v>
      </c>
      <c r="AC104" s="1470"/>
    </row>
    <row r="105" spans="1:29" ht="13.5" thickBot="1" x14ac:dyDescent="0.25">
      <c r="A105" s="1471"/>
      <c r="B105" s="1558"/>
      <c r="C105" s="1559"/>
      <c r="D105" s="2739"/>
      <c r="E105" s="2740"/>
      <c r="F105" s="1472"/>
      <c r="G105" s="2735"/>
      <c r="H105" s="2736"/>
      <c r="I105" s="1472"/>
      <c r="J105" s="2735"/>
      <c r="K105" s="2736"/>
      <c r="L105" s="1472"/>
      <c r="M105" s="2735"/>
      <c r="N105" s="2736"/>
      <c r="O105" s="1472"/>
      <c r="P105" s="2735"/>
      <c r="Q105" s="2736"/>
      <c r="R105" s="1472"/>
      <c r="S105" s="1472"/>
      <c r="T105" s="1472"/>
      <c r="U105" s="1472"/>
      <c r="V105" s="1472"/>
      <c r="W105" s="1472"/>
      <c r="X105" s="1472"/>
      <c r="Y105" s="2735"/>
      <c r="Z105" s="2736"/>
      <c r="AA105" s="1473"/>
      <c r="AB105" s="1426"/>
      <c r="AC105" s="1470"/>
    </row>
    <row r="106" spans="1:29" ht="27.6" customHeight="1" thickBot="1" x14ac:dyDescent="0.35">
      <c r="A106" s="1408"/>
      <c r="B106" s="2741" t="s">
        <v>1051</v>
      </c>
      <c r="C106" s="2742"/>
      <c r="D106" s="2742"/>
      <c r="E106" s="2743"/>
      <c r="F106" s="1442"/>
      <c r="G106" s="1408"/>
      <c r="H106" s="1408"/>
      <c r="I106" s="1408"/>
      <c r="J106" s="1408"/>
      <c r="K106" s="1474"/>
      <c r="L106" s="1474"/>
      <c r="M106" s="1475"/>
      <c r="N106" s="1476"/>
      <c r="O106" s="1475"/>
      <c r="P106" s="1475"/>
      <c r="Q106" s="1475"/>
      <c r="R106" s="1475"/>
      <c r="S106" s="1476"/>
      <c r="T106" s="1475"/>
      <c r="U106" s="1475"/>
      <c r="V106" s="1475"/>
      <c r="W106" s="1476"/>
      <c r="X106" s="1475"/>
      <c r="Y106" s="2737"/>
      <c r="Z106" s="2737"/>
      <c r="AA106" s="1477"/>
      <c r="AB106" s="1478"/>
      <c r="AC106" s="1409"/>
    </row>
    <row r="107" spans="1:29" ht="18.95" customHeight="1" x14ac:dyDescent="0.2">
      <c r="A107" s="1408"/>
      <c r="B107" s="1543" t="s">
        <v>985</v>
      </c>
      <c r="C107" s="1544" t="s">
        <v>427</v>
      </c>
      <c r="D107" s="1545" t="s">
        <v>986</v>
      </c>
      <c r="E107" s="1546" t="s">
        <v>185</v>
      </c>
      <c r="F107" s="1438"/>
      <c r="G107" s="1408"/>
      <c r="H107" s="1408"/>
      <c r="I107" s="1408"/>
      <c r="J107" s="1408"/>
      <c r="K107" s="1442"/>
      <c r="L107" s="1442"/>
      <c r="M107" s="1475"/>
      <c r="N107" s="1475"/>
      <c r="O107" s="1475"/>
      <c r="P107" s="1475"/>
      <c r="Q107" s="1475"/>
      <c r="R107" s="1475"/>
      <c r="S107" s="1475"/>
      <c r="T107" s="1475"/>
      <c r="U107" s="1475"/>
      <c r="V107" s="1475"/>
      <c r="W107" s="1475"/>
      <c r="X107" s="1475"/>
      <c r="Y107" s="2738"/>
      <c r="Z107" s="2738"/>
      <c r="AA107" s="1479"/>
      <c r="AB107" s="1480"/>
      <c r="AC107" s="1409"/>
    </row>
    <row r="108" spans="1:29" x14ac:dyDescent="0.2">
      <c r="A108" s="1408"/>
      <c r="B108" s="1555" t="s">
        <v>987</v>
      </c>
      <c r="C108" s="1481">
        <v>620602</v>
      </c>
      <c r="D108" s="1481">
        <v>653496</v>
      </c>
      <c r="E108" s="1562">
        <f>SUM(C108:D108)</f>
        <v>1274098</v>
      </c>
      <c r="F108" s="1438"/>
      <c r="G108" s="1408"/>
      <c r="H108" s="1408"/>
      <c r="I108" s="1408"/>
      <c r="J108" s="1408"/>
      <c r="K108" s="1442"/>
      <c r="L108" s="1442"/>
      <c r="M108" s="1475"/>
      <c r="N108" s="1475"/>
      <c r="O108" s="1475"/>
      <c r="P108" s="1475"/>
      <c r="Q108" s="1475"/>
      <c r="R108" s="1475"/>
      <c r="S108" s="1475"/>
      <c r="T108" s="1475"/>
      <c r="U108" s="1475"/>
      <c r="V108" s="1475"/>
      <c r="W108" s="1475"/>
      <c r="X108" s="1475"/>
      <c r="Y108" s="1482"/>
      <c r="Z108" s="1483"/>
      <c r="AA108" s="1479"/>
      <c r="AB108" s="1480"/>
      <c r="AC108" s="1409"/>
    </row>
    <row r="109" spans="1:29" x14ac:dyDescent="0.2">
      <c r="A109" s="1408"/>
      <c r="B109" s="1555" t="s">
        <v>988</v>
      </c>
      <c r="C109" s="1481">
        <v>504317.2</v>
      </c>
      <c r="D109" s="1481">
        <v>510178.13</v>
      </c>
      <c r="E109" s="1562">
        <f>SUM(C109:D109)</f>
        <v>1014495.3300000001</v>
      </c>
      <c r="F109" s="1438"/>
      <c r="G109" s="1408"/>
      <c r="H109" s="1408"/>
      <c r="I109" s="1408"/>
      <c r="J109" s="1408"/>
      <c r="K109" s="1442"/>
      <c r="L109" s="1442"/>
      <c r="M109" s="1475"/>
      <c r="N109" s="1475"/>
      <c r="O109" s="1475"/>
      <c r="P109" s="1475"/>
      <c r="Q109" s="1475"/>
      <c r="R109" s="1475"/>
      <c r="S109" s="1475"/>
      <c r="T109" s="1475"/>
      <c r="U109" s="1475"/>
      <c r="V109" s="1475"/>
      <c r="W109" s="1475"/>
      <c r="X109" s="1475"/>
      <c r="Y109" s="1482"/>
      <c r="Z109" s="1483"/>
      <c r="AA109" s="1479"/>
      <c r="AB109" s="1480"/>
      <c r="AC109" s="1409"/>
    </row>
    <row r="110" spans="1:29" x14ac:dyDescent="0.2">
      <c r="A110" s="1408"/>
      <c r="B110" s="1555" t="s">
        <v>989</v>
      </c>
      <c r="C110" s="1433">
        <f>C108-C109</f>
        <v>116284.79999999999</v>
      </c>
      <c r="D110" s="1481">
        <f>D108-D109</f>
        <v>143317.87</v>
      </c>
      <c r="E110" s="1562">
        <f>SUM(C110:D110)</f>
        <v>259602.66999999998</v>
      </c>
      <c r="F110" s="1438"/>
      <c r="G110" s="1408"/>
      <c r="H110" s="1408"/>
      <c r="I110" s="1408"/>
      <c r="J110" s="1408"/>
      <c r="K110" s="1442"/>
      <c r="L110" s="1442"/>
      <c r="M110" s="1475"/>
      <c r="N110" s="1475"/>
      <c r="O110" s="1475"/>
      <c r="P110" s="1475"/>
      <c r="Q110" s="1475"/>
      <c r="R110" s="1475"/>
      <c r="S110" s="1475"/>
      <c r="T110" s="1475"/>
      <c r="U110" s="1475"/>
      <c r="V110" s="1475"/>
      <c r="W110" s="1475"/>
      <c r="X110" s="1475"/>
      <c r="Y110" s="1482"/>
      <c r="Z110" s="1483"/>
      <c r="AA110" s="1479"/>
      <c r="AB110" s="1480"/>
      <c r="AC110" s="1409"/>
    </row>
    <row r="111" spans="1:29" ht="19.5" customHeight="1" x14ac:dyDescent="0.2">
      <c r="A111" s="1408"/>
      <c r="B111" s="1563" t="s">
        <v>1021</v>
      </c>
      <c r="C111" s="1547"/>
      <c r="D111" s="1548"/>
      <c r="E111" s="1564"/>
      <c r="F111" s="1438"/>
      <c r="G111" s="1408"/>
      <c r="H111" s="1408"/>
      <c r="I111" s="1408"/>
      <c r="J111" s="1408"/>
      <c r="K111" s="1442"/>
      <c r="L111" s="1442"/>
      <c r="M111" s="1475"/>
      <c r="N111" s="1475"/>
      <c r="O111" s="1475"/>
      <c r="P111" s="1475"/>
      <c r="Q111" s="1475"/>
      <c r="R111" s="1475"/>
      <c r="S111" s="1475"/>
      <c r="T111" s="1475"/>
      <c r="U111" s="1475"/>
      <c r="V111" s="1475"/>
      <c r="W111" s="1475"/>
      <c r="X111" s="1475"/>
      <c r="Y111" s="1482"/>
      <c r="Z111" s="1483"/>
      <c r="AA111" s="1479"/>
      <c r="AB111" s="1480"/>
      <c r="AC111" s="1409"/>
    </row>
    <row r="112" spans="1:29" x14ac:dyDescent="0.2">
      <c r="A112" s="1408"/>
      <c r="B112" s="1485" t="s">
        <v>1023</v>
      </c>
      <c r="C112" s="1433">
        <v>453776</v>
      </c>
      <c r="D112" s="1484">
        <v>610401.06999999995</v>
      </c>
      <c r="E112" s="1539">
        <f>+C112+D112</f>
        <v>1064177.0699999998</v>
      </c>
      <c r="F112" s="1438"/>
      <c r="G112" s="1408"/>
      <c r="H112" s="1408"/>
      <c r="I112" s="1408"/>
      <c r="J112" s="1408"/>
      <c r="K112" s="1474"/>
      <c r="L112" s="1474"/>
      <c r="M112" s="1475"/>
      <c r="N112" s="1475"/>
      <c r="O112" s="1475"/>
      <c r="P112" s="1475"/>
      <c r="Q112" s="1475"/>
      <c r="R112" s="1475"/>
      <c r="S112" s="1475"/>
      <c r="T112" s="1475"/>
      <c r="U112" s="1475"/>
      <c r="V112" s="1475"/>
      <c r="W112" s="1475"/>
      <c r="X112" s="1475"/>
      <c r="Y112" s="2738"/>
      <c r="Z112" s="2738"/>
      <c r="AA112" s="1479"/>
      <c r="AB112" s="1480"/>
      <c r="AC112" s="1409"/>
    </row>
    <row r="113" spans="1:29" x14ac:dyDescent="0.2">
      <c r="A113" s="1408"/>
      <c r="B113" s="1485" t="s">
        <v>1022</v>
      </c>
      <c r="C113" s="1433">
        <v>478914.79</v>
      </c>
      <c r="D113" s="1484">
        <v>550939.59</v>
      </c>
      <c r="E113" s="1539">
        <f>+C113+D113</f>
        <v>1029854.3799999999</v>
      </c>
      <c r="F113" s="1438"/>
      <c r="G113" s="1486"/>
      <c r="H113" s="1408"/>
      <c r="I113" s="1408"/>
      <c r="J113" s="1408"/>
      <c r="K113" s="1442"/>
      <c r="L113" s="1442"/>
      <c r="M113" s="1475"/>
      <c r="N113" s="1475"/>
      <c r="O113" s="1475"/>
      <c r="P113" s="1475"/>
      <c r="Q113" s="1475"/>
      <c r="R113" s="1475"/>
      <c r="S113" s="1475"/>
      <c r="T113" s="1475"/>
      <c r="U113" s="1475"/>
      <c r="V113" s="1475"/>
      <c r="W113" s="1475"/>
      <c r="X113" s="1475"/>
      <c r="Y113" s="2734"/>
      <c r="Z113" s="2734"/>
      <c r="AA113" s="1479"/>
      <c r="AB113" s="1480"/>
      <c r="AC113" s="1409"/>
    </row>
    <row r="114" spans="1:29" x14ac:dyDescent="0.2">
      <c r="A114" s="1408"/>
      <c r="B114" s="1487" t="s">
        <v>1024</v>
      </c>
      <c r="C114" s="1488">
        <f>+C112-C113</f>
        <v>-25138.789999999979</v>
      </c>
      <c r="D114" s="1488">
        <f>+D112-D113</f>
        <v>59461.479999999981</v>
      </c>
      <c r="E114" s="1539">
        <f>+E112-E113</f>
        <v>34322.689999999944</v>
      </c>
      <c r="F114" s="1438"/>
      <c r="G114" s="1486"/>
      <c r="H114" s="1408"/>
      <c r="I114" s="1408"/>
      <c r="J114" s="1408"/>
      <c r="K114" s="1442"/>
      <c r="L114" s="1442"/>
      <c r="M114" s="1475"/>
      <c r="N114" s="1475"/>
      <c r="O114" s="1475"/>
      <c r="P114" s="1475"/>
      <c r="Q114" s="1475"/>
      <c r="R114" s="1475"/>
      <c r="S114" s="1475"/>
      <c r="T114" s="1475"/>
      <c r="U114" s="1475"/>
      <c r="V114" s="1475"/>
      <c r="W114" s="1475"/>
      <c r="X114" s="1475"/>
      <c r="Y114" s="1483"/>
      <c r="Z114" s="1483"/>
      <c r="AA114" s="1479"/>
      <c r="AB114" s="1480"/>
      <c r="AC114" s="1409"/>
    </row>
    <row r="115" spans="1:29" ht="15.95" customHeight="1" x14ac:dyDescent="0.2">
      <c r="A115" s="1408"/>
      <c r="B115" s="1540" t="s">
        <v>1030</v>
      </c>
      <c r="C115" s="1541"/>
      <c r="D115" s="1542"/>
      <c r="E115" s="1565"/>
      <c r="F115" s="1438"/>
      <c r="G115" s="1486"/>
      <c r="H115" s="1408"/>
      <c r="I115" s="1408"/>
      <c r="J115" s="1408"/>
      <c r="K115" s="1442"/>
      <c r="L115" s="1442"/>
      <c r="M115" s="1475"/>
      <c r="N115" s="1475"/>
      <c r="O115" s="1475"/>
      <c r="P115" s="1475"/>
      <c r="Q115" s="1475"/>
      <c r="R115" s="1475"/>
      <c r="S115" s="1475"/>
      <c r="T115" s="1475"/>
      <c r="U115" s="1475"/>
      <c r="V115" s="1475"/>
      <c r="W115" s="1475"/>
      <c r="X115" s="1475"/>
      <c r="Y115" s="1483"/>
      <c r="Z115" s="1483"/>
      <c r="AA115" s="1479"/>
      <c r="AB115" s="1480"/>
      <c r="AC115" s="1409"/>
    </row>
    <row r="116" spans="1:29" x14ac:dyDescent="0.2">
      <c r="A116" s="1408"/>
      <c r="B116" s="1485" t="s">
        <v>1025</v>
      </c>
      <c r="C116" s="1433">
        <f>C108+C112</f>
        <v>1074378</v>
      </c>
      <c r="D116" s="1484">
        <f>D108+D112</f>
        <v>1263897.0699999998</v>
      </c>
      <c r="E116" s="1539">
        <f>SUM(C116:D116)</f>
        <v>2338275.0699999998</v>
      </c>
      <c r="F116" s="1438"/>
      <c r="G116" s="1486"/>
      <c r="H116" s="1408"/>
      <c r="I116" s="1408"/>
      <c r="J116" s="1408"/>
      <c r="K116" s="1442"/>
      <c r="L116" s="1442"/>
      <c r="M116" s="1475"/>
      <c r="N116" s="1475"/>
      <c r="O116" s="1475"/>
      <c r="P116" s="1475"/>
      <c r="Q116" s="1475"/>
      <c r="R116" s="1475"/>
      <c r="S116" s="1475"/>
      <c r="T116" s="1475"/>
      <c r="U116" s="1475"/>
      <c r="V116" s="1475"/>
      <c r="W116" s="1475"/>
      <c r="X116" s="1475"/>
      <c r="Y116" s="1483"/>
      <c r="Z116" s="1483"/>
      <c r="AA116" s="1479"/>
      <c r="AB116" s="1480"/>
      <c r="AC116" s="1409"/>
    </row>
    <row r="117" spans="1:29" x14ac:dyDescent="0.2">
      <c r="A117" s="1408"/>
      <c r="B117" s="1485" t="s">
        <v>1026</v>
      </c>
      <c r="C117" s="1433">
        <f>C109+C113</f>
        <v>983231.99</v>
      </c>
      <c r="D117" s="1433">
        <f>D109+D113</f>
        <v>1061117.72</v>
      </c>
      <c r="E117" s="1566">
        <f>E109+E113</f>
        <v>2044349.71</v>
      </c>
      <c r="F117" s="1438"/>
      <c r="G117" s="1408"/>
      <c r="H117" s="1408"/>
      <c r="I117" s="1408"/>
      <c r="J117" s="1408"/>
      <c r="K117" s="1442"/>
      <c r="L117" s="1442"/>
      <c r="M117" s="1475"/>
      <c r="N117" s="1475"/>
      <c r="O117" s="1475"/>
      <c r="P117" s="1475"/>
      <c r="Q117" s="1475"/>
      <c r="R117" s="1475"/>
      <c r="S117" s="1475"/>
      <c r="T117" s="1475"/>
      <c r="U117" s="1475"/>
      <c r="V117" s="1475"/>
      <c r="W117" s="1475"/>
      <c r="X117" s="1475"/>
      <c r="Y117" s="1483"/>
      <c r="Z117" s="1483"/>
      <c r="AA117" s="1479"/>
      <c r="AB117" s="1480"/>
      <c r="AC117" s="1409"/>
    </row>
    <row r="118" spans="1:29" x14ac:dyDescent="0.2">
      <c r="A118" s="1408"/>
      <c r="B118" s="1487" t="s">
        <v>1027</v>
      </c>
      <c r="C118" s="1488">
        <f>C116-C117</f>
        <v>91146.010000000009</v>
      </c>
      <c r="D118" s="1489">
        <f>D116-D117</f>
        <v>202779.34999999986</v>
      </c>
      <c r="E118" s="1567">
        <f>E116-E117</f>
        <v>293925.35999999987</v>
      </c>
      <c r="F118" s="1490"/>
      <c r="G118" s="1474"/>
      <c r="H118" s="1408"/>
      <c r="I118" s="1408"/>
      <c r="J118" s="1408"/>
      <c r="K118" s="1442"/>
      <c r="L118" s="1442"/>
      <c r="M118" s="1475"/>
      <c r="N118" s="1475"/>
      <c r="O118" s="1475"/>
      <c r="P118" s="1475"/>
      <c r="Q118" s="1475"/>
      <c r="R118" s="1475"/>
      <c r="S118" s="1475"/>
      <c r="T118" s="1475"/>
      <c r="U118" s="1475"/>
      <c r="V118" s="1475"/>
      <c r="W118" s="1475"/>
      <c r="X118" s="1475"/>
      <c r="Y118" s="1483"/>
      <c r="Z118" s="1483"/>
      <c r="AA118" s="1479"/>
      <c r="AB118" s="1480"/>
      <c r="AC118" s="1409"/>
    </row>
    <row r="119" spans="1:29" x14ac:dyDescent="0.2">
      <c r="A119" s="1408"/>
      <c r="B119" s="1583" t="s">
        <v>1057</v>
      </c>
      <c r="C119" s="1584">
        <f>+C116/E116</f>
        <v>0.45947459894014953</v>
      </c>
      <c r="D119" s="1585">
        <f>+D116/E116</f>
        <v>0.54052540105985047</v>
      </c>
      <c r="E119" s="1582"/>
      <c r="F119" s="1490"/>
      <c r="G119" s="1474"/>
      <c r="H119" s="1408"/>
      <c r="I119" s="1408"/>
      <c r="J119" s="1408"/>
      <c r="K119" s="1442"/>
      <c r="L119" s="1442"/>
      <c r="M119" s="1475"/>
      <c r="N119" s="1475"/>
      <c r="O119" s="1475"/>
      <c r="P119" s="1475"/>
      <c r="Q119" s="1475"/>
      <c r="R119" s="1475"/>
      <c r="S119" s="1475"/>
      <c r="T119" s="1475"/>
      <c r="U119" s="1475"/>
      <c r="V119" s="1475"/>
      <c r="W119" s="1475"/>
      <c r="X119" s="1475"/>
      <c r="Y119" s="1483"/>
      <c r="Z119" s="1483"/>
      <c r="AA119" s="1479"/>
      <c r="AB119" s="1480"/>
      <c r="AC119" s="1409"/>
    </row>
    <row r="120" spans="1:29" ht="13.5" thickBot="1" x14ac:dyDescent="0.25">
      <c r="A120" s="1408"/>
      <c r="B120" s="1556" t="s">
        <v>1028</v>
      </c>
      <c r="C120" s="1557">
        <f>C117/C116</f>
        <v>0.91516392740729979</v>
      </c>
      <c r="D120" s="1557">
        <f>D117/D116</f>
        <v>0.83956023412571101</v>
      </c>
      <c r="E120" s="1568">
        <f>E117/E116</f>
        <v>0.87429821077466308</v>
      </c>
      <c r="F120" s="1490"/>
      <c r="G120" s="1408"/>
      <c r="H120" s="1408"/>
      <c r="I120" s="1408"/>
      <c r="J120" s="1408"/>
      <c r="K120" s="1442"/>
      <c r="L120" s="1442"/>
      <c r="M120" s="1475"/>
      <c r="N120" s="1475"/>
      <c r="O120" s="1475"/>
      <c r="P120" s="1475"/>
      <c r="Q120" s="1475"/>
      <c r="R120" s="1475"/>
      <c r="S120" s="1475"/>
      <c r="T120" s="1475"/>
      <c r="U120" s="1475"/>
      <c r="V120" s="1475"/>
      <c r="W120" s="1475"/>
      <c r="X120" s="1475"/>
      <c r="Y120" s="1483"/>
      <c r="Z120" s="1482"/>
      <c r="AA120" s="1479"/>
      <c r="AB120" s="1480"/>
      <c r="AC120" s="1409"/>
    </row>
    <row r="121" spans="1:29" x14ac:dyDescent="0.2">
      <c r="A121" s="1408"/>
      <c r="B121" s="1560" t="s">
        <v>1029</v>
      </c>
      <c r="C121" s="1561">
        <f>C118/C116</f>
        <v>8.4836072592700151E-2</v>
      </c>
      <c r="D121" s="1561">
        <f>D118/D116</f>
        <v>0.16043976587428901</v>
      </c>
      <c r="E121" s="1561">
        <f>E118/E116</f>
        <v>0.1257017892253369</v>
      </c>
      <c r="F121" s="1438"/>
      <c r="G121" s="1408"/>
      <c r="H121" s="1408"/>
      <c r="I121" s="1408"/>
      <c r="J121" s="1408"/>
      <c r="K121" s="1442"/>
      <c r="L121" s="1442"/>
      <c r="M121" s="1475"/>
      <c r="N121" s="1475"/>
      <c r="O121" s="1475"/>
      <c r="P121" s="1475"/>
      <c r="Q121" s="1475"/>
      <c r="R121" s="1475"/>
      <c r="S121" s="1475"/>
      <c r="T121" s="1475"/>
      <c r="U121" s="1475"/>
      <c r="V121" s="1475"/>
      <c r="W121" s="1475"/>
      <c r="X121" s="1475"/>
      <c r="Y121" s="2734"/>
      <c r="Z121" s="2734"/>
      <c r="AA121" s="1479"/>
      <c r="AB121" s="1480"/>
      <c r="AC121" s="1409"/>
    </row>
  </sheetData>
  <autoFilter ref="A2:C103"/>
  <mergeCells count="38">
    <mergeCell ref="B1:AB1"/>
    <mergeCell ref="P2:R2"/>
    <mergeCell ref="S2:U2"/>
    <mergeCell ref="Y2:AB2"/>
    <mergeCell ref="D2:F2"/>
    <mergeCell ref="B2:B3"/>
    <mergeCell ref="G2:I2"/>
    <mergeCell ref="J2:L2"/>
    <mergeCell ref="V2:X2"/>
    <mergeCell ref="M2:O2"/>
    <mergeCell ref="AC3:AC4"/>
    <mergeCell ref="AC6:AC10"/>
    <mergeCell ref="A23:B23"/>
    <mergeCell ref="A33:B33"/>
    <mergeCell ref="A39:B39"/>
    <mergeCell ref="A2:A4"/>
    <mergeCell ref="A45:B45"/>
    <mergeCell ref="A54:B54"/>
    <mergeCell ref="A60:B60"/>
    <mergeCell ref="A63:B63"/>
    <mergeCell ref="A74:B74"/>
    <mergeCell ref="A81:B81"/>
    <mergeCell ref="A86:B86"/>
    <mergeCell ref="A95:B95"/>
    <mergeCell ref="A98:B98"/>
    <mergeCell ref="A102:B102"/>
    <mergeCell ref="D105:E105"/>
    <mergeCell ref="G105:H105"/>
    <mergeCell ref="B106:E106"/>
    <mergeCell ref="J105:K105"/>
    <mergeCell ref="Y113:Z113"/>
    <mergeCell ref="Y121:Z121"/>
    <mergeCell ref="M105:N105"/>
    <mergeCell ref="P105:Q105"/>
    <mergeCell ref="Y105:Z105"/>
    <mergeCell ref="Y106:Z106"/>
    <mergeCell ref="Y107:Z107"/>
    <mergeCell ref="Y112:Z112"/>
  </mergeCells>
  <pageMargins left="0.7" right="0.7" top="0.75" bottom="0.75" header="0.3" footer="0.3"/>
  <pageSetup scale="23"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zoomScale="92" zoomScaleNormal="92" workbookViewId="0">
      <pane xSplit="3" ySplit="1" topLeftCell="D14" activePane="bottomRight" state="frozen"/>
      <selection pane="topRight" activeCell="D1" sqref="D1"/>
      <selection pane="bottomLeft" activeCell="A3" sqref="A3"/>
      <selection pane="bottomRight" activeCell="D27" sqref="D27:E27"/>
    </sheetView>
  </sheetViews>
  <sheetFormatPr defaultColWidth="10.28515625" defaultRowHeight="12.75" x14ac:dyDescent="0.2"/>
  <cols>
    <col min="1" max="1" width="8.140625" style="1410" customWidth="1"/>
    <col min="2" max="2" width="53.140625" style="1410" customWidth="1"/>
    <col min="3" max="3" width="14" style="1410" customWidth="1"/>
    <col min="4" max="4" width="14.140625" style="1410" customWidth="1"/>
    <col min="5" max="5" width="16.28515625" style="1410" customWidth="1"/>
    <col min="6" max="6" width="12.7109375" style="1410" customWidth="1"/>
    <col min="7" max="7" width="12.5703125" style="1410" customWidth="1"/>
    <col min="8" max="8" width="56.42578125" style="1410" customWidth="1"/>
    <col min="9" max="239" width="9.140625" style="1410" customWidth="1"/>
    <col min="240" max="240" width="53.140625" style="1410" customWidth="1"/>
    <col min="241" max="241" width="11.7109375" style="1410" customWidth="1"/>
    <col min="242" max="242" width="11.42578125" style="1410" customWidth="1"/>
    <col min="243" max="243" width="12" style="1410" customWidth="1"/>
    <col min="244" max="244" width="9.7109375" style="1410" customWidth="1"/>
    <col min="245" max="245" width="10.5703125" style="1410" customWidth="1"/>
    <col min="246" max="247" width="9.140625" style="1410" customWidth="1"/>
    <col min="248" max="248" width="10.28515625" style="1410" customWidth="1"/>
    <col min="249" max="249" width="10.140625" style="1410" customWidth="1"/>
    <col min="250" max="250" width="10.42578125" style="1410" customWidth="1"/>
    <col min="251" max="251" width="9.140625" style="1410" customWidth="1"/>
    <col min="252" max="252" width="11" style="1410" customWidth="1"/>
    <col min="253" max="253" width="10.5703125" style="1410" customWidth="1"/>
    <col min="254" max="254" width="10.7109375" style="1410" customWidth="1"/>
    <col min="255" max="255" width="9.140625" style="1410" customWidth="1"/>
    <col min="256" max="16384" width="10.28515625" style="1410"/>
  </cols>
  <sheetData>
    <row r="1" spans="1:8" ht="39.6" customHeight="1" x14ac:dyDescent="0.2">
      <c r="A1" s="1408"/>
      <c r="B1" s="1721" t="s">
        <v>1033</v>
      </c>
      <c r="C1" s="1722"/>
      <c r="D1" s="1722"/>
      <c r="E1" s="1722"/>
      <c r="F1" s="1722"/>
      <c r="G1" s="1722"/>
      <c r="H1" s="1409"/>
    </row>
    <row r="2" spans="1:8" x14ac:dyDescent="0.2">
      <c r="A2" s="1411"/>
      <c r="B2" s="2751" t="s">
        <v>778</v>
      </c>
      <c r="C2" s="1411"/>
      <c r="D2" s="2758" t="s">
        <v>781</v>
      </c>
      <c r="E2" s="2756"/>
      <c r="F2" s="2757"/>
      <c r="G2" s="1491"/>
      <c r="H2" s="1412"/>
    </row>
    <row r="3" spans="1:8" ht="24" customHeight="1" x14ac:dyDescent="0.2">
      <c r="A3" s="1411" t="s">
        <v>1020</v>
      </c>
      <c r="B3" s="2753"/>
      <c r="C3" s="1411" t="s">
        <v>459</v>
      </c>
      <c r="D3" s="1413" t="s">
        <v>784</v>
      </c>
      <c r="E3" s="1413" t="s">
        <v>785</v>
      </c>
      <c r="F3" s="1413" t="s">
        <v>596</v>
      </c>
      <c r="G3" s="1413" t="s">
        <v>789</v>
      </c>
      <c r="H3" s="1515" t="s">
        <v>572</v>
      </c>
    </row>
    <row r="4" spans="1:8" ht="12.95" customHeight="1" x14ac:dyDescent="0.2">
      <c r="A4" s="1416"/>
      <c r="B4" s="1429" t="s">
        <v>793</v>
      </c>
      <c r="C4" s="1418" t="s">
        <v>790</v>
      </c>
      <c r="D4" s="1422">
        <v>0</v>
      </c>
      <c r="E4" s="1422">
        <v>6642.3848357945781</v>
      </c>
      <c r="F4" s="1422">
        <f>+D4-E4</f>
        <v>-6642.3848357945781</v>
      </c>
      <c r="G4" s="1492">
        <v>0</v>
      </c>
      <c r="H4" s="2748" t="s">
        <v>990</v>
      </c>
    </row>
    <row r="5" spans="1:8" ht="13.5" x14ac:dyDescent="0.2">
      <c r="A5" s="1416"/>
      <c r="B5" s="1429" t="s">
        <v>795</v>
      </c>
      <c r="C5" s="1418" t="s">
        <v>790</v>
      </c>
      <c r="D5" s="1422">
        <v>0</v>
      </c>
      <c r="E5" s="1422">
        <v>13500</v>
      </c>
      <c r="F5" s="1422">
        <f>+D5-E5</f>
        <v>-13500</v>
      </c>
      <c r="G5" s="1492">
        <v>0</v>
      </c>
      <c r="H5" s="2749"/>
    </row>
    <row r="6" spans="1:8" ht="13.5" x14ac:dyDescent="0.2">
      <c r="A6" s="1416"/>
      <c r="B6" s="1429" t="s">
        <v>796</v>
      </c>
      <c r="C6" s="1418" t="s">
        <v>790</v>
      </c>
      <c r="D6" s="1422">
        <v>0</v>
      </c>
      <c r="E6" s="1422">
        <v>3000</v>
      </c>
      <c r="F6" s="1422">
        <f>+D6-E6</f>
        <v>-3000</v>
      </c>
      <c r="G6" s="1492">
        <v>0</v>
      </c>
      <c r="H6" s="2749"/>
    </row>
    <row r="7" spans="1:8" x14ac:dyDescent="0.2">
      <c r="A7" s="1458"/>
      <c r="B7" s="1459" t="s">
        <v>851</v>
      </c>
      <c r="C7" s="1418" t="s">
        <v>790</v>
      </c>
      <c r="D7" s="1422">
        <v>6340</v>
      </c>
      <c r="E7" s="1422">
        <v>0</v>
      </c>
      <c r="F7" s="1422">
        <f t="shared" ref="F7:F20" si="0">+D7-E7</f>
        <v>6340</v>
      </c>
      <c r="G7" s="1492">
        <f>+F7/D7</f>
        <v>1</v>
      </c>
      <c r="H7" s="1427" t="s">
        <v>991</v>
      </c>
    </row>
    <row r="8" spans="1:8" x14ac:dyDescent="0.2">
      <c r="A8" s="1416" t="s">
        <v>853</v>
      </c>
      <c r="B8" s="1440" t="s">
        <v>854</v>
      </c>
      <c r="C8" s="1416" t="s">
        <v>855</v>
      </c>
      <c r="D8" s="1422">
        <v>7389</v>
      </c>
      <c r="E8" s="1422">
        <v>0</v>
      </c>
      <c r="F8" s="1422">
        <f t="shared" si="0"/>
        <v>7389</v>
      </c>
      <c r="G8" s="1492">
        <f>+F8/D8</f>
        <v>1</v>
      </c>
      <c r="H8" s="1431" t="s">
        <v>992</v>
      </c>
    </row>
    <row r="9" spans="1:8" ht="24" x14ac:dyDescent="0.2">
      <c r="A9" s="1416" t="s">
        <v>856</v>
      </c>
      <c r="B9" s="1440" t="s">
        <v>857</v>
      </c>
      <c r="C9" s="1416" t="s">
        <v>855</v>
      </c>
      <c r="D9" s="1422">
        <v>474</v>
      </c>
      <c r="E9" s="1422">
        <v>848.68856072294477</v>
      </c>
      <c r="F9" s="1422">
        <f t="shared" si="0"/>
        <v>-374.68856072294477</v>
      </c>
      <c r="G9" s="1492">
        <f>+F9/D9</f>
        <v>-0.79048219561802691</v>
      </c>
      <c r="H9" s="1427" t="s">
        <v>993</v>
      </c>
    </row>
    <row r="10" spans="1:8" x14ac:dyDescent="0.2">
      <c r="A10" s="1416" t="s">
        <v>870</v>
      </c>
      <c r="B10" s="1417" t="s">
        <v>871</v>
      </c>
      <c r="C10" s="1416" t="s">
        <v>866</v>
      </c>
      <c r="D10" s="1422">
        <v>6170</v>
      </c>
      <c r="E10" s="1422">
        <f>490.92+4408.19925060613</f>
        <v>4899.1192506061298</v>
      </c>
      <c r="F10" s="1422">
        <f t="shared" si="0"/>
        <v>1270.8807493938702</v>
      </c>
      <c r="G10" s="1492">
        <f>+F10/D10</f>
        <v>0.20597743102007621</v>
      </c>
      <c r="H10" s="1431" t="s">
        <v>994</v>
      </c>
    </row>
    <row r="11" spans="1:8" ht="24" x14ac:dyDescent="0.2">
      <c r="A11" s="1416" t="s">
        <v>877</v>
      </c>
      <c r="B11" s="1417" t="s">
        <v>878</v>
      </c>
      <c r="C11" s="1416" t="s">
        <v>866</v>
      </c>
      <c r="D11" s="1422">
        <v>0</v>
      </c>
      <c r="E11" s="1422">
        <v>2522.3275292043204</v>
      </c>
      <c r="F11" s="1422">
        <f t="shared" si="0"/>
        <v>-2522.3275292043204</v>
      </c>
      <c r="G11" s="1492">
        <v>0</v>
      </c>
      <c r="H11" s="1427" t="s">
        <v>990</v>
      </c>
    </row>
    <row r="12" spans="1:8" x14ac:dyDescent="0.2">
      <c r="A12" s="1416" t="s">
        <v>886</v>
      </c>
      <c r="B12" s="1417" t="s">
        <v>887</v>
      </c>
      <c r="C12" s="1416" t="s">
        <v>888</v>
      </c>
      <c r="D12" s="1422">
        <v>0</v>
      </c>
      <c r="E12" s="1422">
        <v>1000</v>
      </c>
      <c r="F12" s="1422">
        <f t="shared" si="0"/>
        <v>-1000</v>
      </c>
      <c r="G12" s="1492">
        <v>0</v>
      </c>
      <c r="H12" s="1431" t="s">
        <v>990</v>
      </c>
    </row>
    <row r="13" spans="1:8" x14ac:dyDescent="0.2">
      <c r="A13" s="1416" t="s">
        <v>889</v>
      </c>
      <c r="B13" s="1417" t="s">
        <v>890</v>
      </c>
      <c r="C13" s="1416" t="s">
        <v>888</v>
      </c>
      <c r="D13" s="1422">
        <v>0</v>
      </c>
      <c r="E13" s="1422">
        <v>0</v>
      </c>
      <c r="F13" s="1422">
        <f t="shared" si="0"/>
        <v>0</v>
      </c>
      <c r="G13" s="1492">
        <v>0</v>
      </c>
      <c r="H13" s="1431"/>
    </row>
    <row r="14" spans="1:8" ht="13.5" x14ac:dyDescent="0.2">
      <c r="A14" s="1439" t="s">
        <v>889</v>
      </c>
      <c r="B14" s="1429" t="s">
        <v>891</v>
      </c>
      <c r="C14" s="1416" t="s">
        <v>888</v>
      </c>
      <c r="D14" s="1422">
        <v>0</v>
      </c>
      <c r="E14" s="1422">
        <v>4439.9823672029979</v>
      </c>
      <c r="F14" s="1422">
        <f t="shared" si="0"/>
        <v>-4439.9823672029979</v>
      </c>
      <c r="G14" s="1492">
        <v>0</v>
      </c>
      <c r="H14" s="1431" t="s">
        <v>990</v>
      </c>
    </row>
    <row r="15" spans="1:8" x14ac:dyDescent="0.2">
      <c r="A15" s="1416" t="s">
        <v>894</v>
      </c>
      <c r="B15" s="1440" t="s">
        <v>895</v>
      </c>
      <c r="C15" s="1416" t="s">
        <v>888</v>
      </c>
      <c r="D15" s="1422">
        <v>2325</v>
      </c>
      <c r="E15" s="1422">
        <v>2339.5415472779373</v>
      </c>
      <c r="F15" s="1422">
        <f t="shared" si="0"/>
        <v>-14.541547277937298</v>
      </c>
      <c r="G15" s="1492">
        <f>+F15/D15</f>
        <v>-6.2544289367472252E-3</v>
      </c>
      <c r="H15" s="1431" t="s">
        <v>848</v>
      </c>
    </row>
    <row r="16" spans="1:8" x14ac:dyDescent="0.2">
      <c r="A16" s="1416" t="s">
        <v>897</v>
      </c>
      <c r="B16" s="1440" t="s">
        <v>898</v>
      </c>
      <c r="C16" s="1416" t="s">
        <v>855</v>
      </c>
      <c r="D16" s="1422">
        <v>0</v>
      </c>
      <c r="E16" s="1422">
        <v>10578.399823672031</v>
      </c>
      <c r="F16" s="1422">
        <f t="shared" si="0"/>
        <v>-10578.399823672031</v>
      </c>
      <c r="G16" s="1492">
        <v>0</v>
      </c>
      <c r="H16" s="1431" t="s">
        <v>1001</v>
      </c>
    </row>
    <row r="17" spans="1:8" x14ac:dyDescent="0.2">
      <c r="A17" s="1416" t="s">
        <v>902</v>
      </c>
      <c r="B17" s="1440" t="s">
        <v>903</v>
      </c>
      <c r="C17" s="1416" t="s">
        <v>855</v>
      </c>
      <c r="D17" s="1422">
        <v>999</v>
      </c>
      <c r="E17" s="1422">
        <v>859.59885386819485</v>
      </c>
      <c r="F17" s="1422">
        <f t="shared" si="0"/>
        <v>139.40114613180515</v>
      </c>
      <c r="G17" s="1492">
        <f>+F17/D17</f>
        <v>0.13954068681862378</v>
      </c>
      <c r="H17" s="1431" t="s">
        <v>904</v>
      </c>
    </row>
    <row r="18" spans="1:8" ht="24" x14ac:dyDescent="0.2">
      <c r="A18" s="1416"/>
      <c r="B18" s="1440" t="s">
        <v>905</v>
      </c>
      <c r="C18" s="1416" t="s">
        <v>855</v>
      </c>
      <c r="D18" s="1422">
        <v>17166</v>
      </c>
      <c r="E18" s="1422">
        <v>18800.925721842628</v>
      </c>
      <c r="F18" s="1422">
        <f t="shared" si="0"/>
        <v>-1634.9257218426283</v>
      </c>
      <c r="G18" s="1492">
        <f>+F18/D18</f>
        <v>-9.5242090285601086E-2</v>
      </c>
      <c r="H18" s="1427" t="s">
        <v>1000</v>
      </c>
    </row>
    <row r="19" spans="1:8" x14ac:dyDescent="0.2">
      <c r="A19" s="1416" t="s">
        <v>909</v>
      </c>
      <c r="B19" s="1440" t="s">
        <v>910</v>
      </c>
      <c r="C19" s="1416" t="s">
        <v>855</v>
      </c>
      <c r="D19" s="1422">
        <v>21750</v>
      </c>
      <c r="E19" s="1422">
        <v>0</v>
      </c>
      <c r="F19" s="1422">
        <f t="shared" si="0"/>
        <v>21750</v>
      </c>
      <c r="G19" s="1492">
        <f>+F19/D19</f>
        <v>1</v>
      </c>
      <c r="H19" s="1427" t="s">
        <v>1056</v>
      </c>
    </row>
    <row r="20" spans="1:8" x14ac:dyDescent="0.2">
      <c r="A20" s="1416" t="s">
        <v>911</v>
      </c>
      <c r="B20" s="1417" t="s">
        <v>912</v>
      </c>
      <c r="C20" s="1416" t="s">
        <v>855</v>
      </c>
      <c r="D20" s="1422">
        <v>15045</v>
      </c>
      <c r="E20" s="1422">
        <v>0</v>
      </c>
      <c r="F20" s="1422">
        <f t="shared" si="0"/>
        <v>15045</v>
      </c>
      <c r="G20" s="1492">
        <f>+F20/D20</f>
        <v>1</v>
      </c>
      <c r="H20" s="1431" t="s">
        <v>1056</v>
      </c>
    </row>
    <row r="21" spans="1:8" x14ac:dyDescent="0.2">
      <c r="A21" s="1416"/>
      <c r="B21" s="1444" t="s">
        <v>918</v>
      </c>
      <c r="C21" s="1416" t="s">
        <v>855</v>
      </c>
      <c r="D21" s="1422">
        <v>0</v>
      </c>
      <c r="E21" s="1422">
        <v>16817.280141062376</v>
      </c>
      <c r="F21" s="1422">
        <f t="shared" ref="F21:F26" si="1">+D21-E21</f>
        <v>-16817.280141062376</v>
      </c>
      <c r="G21" s="1492">
        <v>0</v>
      </c>
      <c r="H21" s="1427" t="s">
        <v>990</v>
      </c>
    </row>
    <row r="22" spans="1:8" ht="24" x14ac:dyDescent="0.2">
      <c r="A22" s="1416" t="s">
        <v>951</v>
      </c>
      <c r="B22" s="1440" t="s">
        <v>952</v>
      </c>
      <c r="C22" s="1416" t="s">
        <v>855</v>
      </c>
      <c r="D22" s="1422">
        <v>6000</v>
      </c>
      <c r="E22" s="1422">
        <v>2012.8719418117701</v>
      </c>
      <c r="F22" s="1422">
        <f t="shared" si="1"/>
        <v>3987.1280581882302</v>
      </c>
      <c r="G22" s="1492">
        <f>+F22/D22</f>
        <v>0.66452134303137167</v>
      </c>
      <c r="H22" s="1427" t="s">
        <v>999</v>
      </c>
    </row>
    <row r="23" spans="1:8" x14ac:dyDescent="0.2">
      <c r="A23" s="1416" t="s">
        <v>954</v>
      </c>
      <c r="B23" s="1417" t="s">
        <v>955</v>
      </c>
      <c r="C23" s="1416" t="s">
        <v>855</v>
      </c>
      <c r="D23" s="1422"/>
      <c r="E23" s="1422">
        <v>1215.8254353096761</v>
      </c>
      <c r="F23" s="1422">
        <f t="shared" si="1"/>
        <v>-1215.8254353096761</v>
      </c>
      <c r="G23" s="1492">
        <v>0</v>
      </c>
      <c r="H23" s="1427" t="s">
        <v>998</v>
      </c>
    </row>
    <row r="24" spans="1:8" ht="24" x14ac:dyDescent="0.2">
      <c r="A24" s="1416" t="s">
        <v>956</v>
      </c>
      <c r="B24" s="1417" t="s">
        <v>936</v>
      </c>
      <c r="C24" s="1416" t="s">
        <v>855</v>
      </c>
      <c r="D24" s="1422">
        <v>2460</v>
      </c>
      <c r="E24" s="1422">
        <v>1881.4635221512012</v>
      </c>
      <c r="F24" s="1422">
        <f t="shared" si="1"/>
        <v>578.53647784879877</v>
      </c>
      <c r="G24" s="1492">
        <f>+F24/D24</f>
        <v>0.2351774300198369</v>
      </c>
      <c r="H24" s="1427" t="s">
        <v>997</v>
      </c>
    </row>
    <row r="25" spans="1:8" ht="24" x14ac:dyDescent="0.2">
      <c r="A25" s="1416" t="s">
        <v>957</v>
      </c>
      <c r="B25" s="1417" t="s">
        <v>958</v>
      </c>
      <c r="C25" s="1416" t="s">
        <v>855</v>
      </c>
      <c r="D25" s="1422">
        <v>5310</v>
      </c>
      <c r="E25" s="1422">
        <v>8284.4390566453603</v>
      </c>
      <c r="F25" s="1422">
        <f t="shared" si="1"/>
        <v>-2974.4390566453603</v>
      </c>
      <c r="G25" s="1492">
        <f>+F25/D25</f>
        <v>-0.56015801443415447</v>
      </c>
      <c r="H25" s="1427" t="s">
        <v>996</v>
      </c>
    </row>
    <row r="26" spans="1:8" ht="25.5" customHeight="1" x14ac:dyDescent="0.2">
      <c r="A26" s="1416" t="s">
        <v>977</v>
      </c>
      <c r="B26" s="1440" t="s">
        <v>978</v>
      </c>
      <c r="C26" s="1416" t="s">
        <v>855</v>
      </c>
      <c r="D26" s="1422">
        <v>0</v>
      </c>
      <c r="E26" s="1422">
        <v>666.12298875909198</v>
      </c>
      <c r="F26" s="1422">
        <f t="shared" si="1"/>
        <v>-666.12298875909198</v>
      </c>
      <c r="G26" s="1492">
        <v>0</v>
      </c>
      <c r="H26" s="1427" t="s">
        <v>995</v>
      </c>
    </row>
    <row r="27" spans="1:8" ht="13.5" thickBot="1" x14ac:dyDescent="0.25">
      <c r="A27" s="1443">
        <v>3.1</v>
      </c>
      <c r="B27" s="1444" t="s">
        <v>982</v>
      </c>
      <c r="C27" s="1443" t="s">
        <v>855</v>
      </c>
      <c r="D27" s="1529">
        <v>16679</v>
      </c>
      <c r="E27" s="1529">
        <v>15425.698479171258</v>
      </c>
      <c r="F27" s="1529">
        <f>+D27-E27</f>
        <v>1253.3015208287416</v>
      </c>
      <c r="G27" s="1530">
        <f>+F27/D27</f>
        <v>7.5142485810224924E-2</v>
      </c>
      <c r="H27" s="1427" t="s">
        <v>1063</v>
      </c>
    </row>
    <row r="28" spans="1:8" ht="13.5" thickBot="1" x14ac:dyDescent="0.25">
      <c r="A28" s="1531"/>
      <c r="B28" s="1532" t="s">
        <v>984</v>
      </c>
      <c r="C28" s="1533"/>
      <c r="D28" s="1534">
        <f>SUM(D4:D27)</f>
        <v>108107</v>
      </c>
      <c r="E28" s="1534">
        <f>SUM(E4:E27)</f>
        <v>115734.6700551025</v>
      </c>
      <c r="F28" s="1534">
        <f>SUM(F4:F27)</f>
        <v>-7627.6700551025024</v>
      </c>
      <c r="G28" s="1535">
        <f>+F28/D28</f>
        <v>-7.0556671215578112E-2</v>
      </c>
      <c r="H28" s="1470"/>
    </row>
    <row r="29" spans="1:8" ht="13.5" thickBot="1" x14ac:dyDescent="0.25">
      <c r="A29" s="1549"/>
      <c r="B29" s="1552"/>
      <c r="C29" s="1553"/>
      <c r="D29" s="1554"/>
      <c r="E29" s="1554"/>
      <c r="F29" s="1550"/>
      <c r="G29" s="1551"/>
      <c r="H29" s="1470"/>
    </row>
    <row r="30" spans="1:8" ht="28.5" customHeight="1" thickBot="1" x14ac:dyDescent="0.25">
      <c r="A30" s="1408"/>
      <c r="B30" s="2767" t="s">
        <v>1031</v>
      </c>
      <c r="C30" s="2768"/>
      <c r="D30" s="2768"/>
      <c r="E30" s="2769"/>
      <c r="F30" s="1475"/>
      <c r="G30" s="1478"/>
      <c r="H30" s="1409"/>
    </row>
    <row r="31" spans="1:8" ht="13.5" thickBot="1" x14ac:dyDescent="0.25">
      <c r="A31" s="1408"/>
      <c r="B31" s="1576" t="s">
        <v>1045</v>
      </c>
      <c r="C31" s="1536" t="s">
        <v>427</v>
      </c>
      <c r="D31" s="1537" t="s">
        <v>986</v>
      </c>
      <c r="E31" s="1538" t="s">
        <v>185</v>
      </c>
      <c r="F31" s="1475"/>
      <c r="G31" s="1480"/>
      <c r="H31" s="1409"/>
    </row>
    <row r="32" spans="1:8" x14ac:dyDescent="0.2">
      <c r="B32" s="1577" t="s">
        <v>1046</v>
      </c>
      <c r="C32" s="1578">
        <v>93272</v>
      </c>
      <c r="D32" s="1578">
        <v>14835</v>
      </c>
      <c r="E32" s="1578">
        <f>+C32+D32</f>
        <v>108107</v>
      </c>
    </row>
    <row r="33" spans="2:5" x14ac:dyDescent="0.2">
      <c r="B33" s="1571" t="s">
        <v>1041</v>
      </c>
      <c r="C33" s="1572">
        <f>+D9+D17+D18+D22+D24+D25+D27</f>
        <v>49088</v>
      </c>
      <c r="D33" s="1572">
        <f>+D10+D15</f>
        <v>8495</v>
      </c>
      <c r="E33" s="1572">
        <f>+C33+D33</f>
        <v>57583</v>
      </c>
    </row>
    <row r="34" spans="2:5" x14ac:dyDescent="0.2">
      <c r="B34" s="1571" t="s">
        <v>1042</v>
      </c>
      <c r="C34" s="1572">
        <f>+D8+D19+D20</f>
        <v>44184</v>
      </c>
      <c r="D34" s="1572">
        <f>+D7</f>
        <v>6340</v>
      </c>
      <c r="E34" s="1572">
        <f>+C34+D34</f>
        <v>50524</v>
      </c>
    </row>
    <row r="35" spans="2:5" x14ac:dyDescent="0.2">
      <c r="B35" s="1571" t="s">
        <v>1034</v>
      </c>
      <c r="C35" s="1573">
        <f>+C32/E32</f>
        <v>0.86277484344214528</v>
      </c>
      <c r="D35" s="1573">
        <f>+D32/E32</f>
        <v>0.13722515655785472</v>
      </c>
      <c r="E35" s="1581">
        <v>1</v>
      </c>
    </row>
    <row r="36" spans="2:5" x14ac:dyDescent="0.2">
      <c r="B36" s="1571" t="s">
        <v>1043</v>
      </c>
      <c r="C36" s="1573">
        <f>+C33/C32</f>
        <v>0.52628870400548933</v>
      </c>
      <c r="D36" s="1573">
        <f>+D33/D32</f>
        <v>0.57263228850690928</v>
      </c>
      <c r="E36" s="1573">
        <f>+E33/E32</f>
        <v>0.53264820964414883</v>
      </c>
    </row>
    <row r="37" spans="2:5" x14ac:dyDescent="0.2">
      <c r="B37" s="1571" t="s">
        <v>1044</v>
      </c>
      <c r="C37" s="1573">
        <f>+C34/C32</f>
        <v>0.47371129599451067</v>
      </c>
      <c r="D37" s="1573">
        <f>+D34/D32</f>
        <v>0.42736771149309066</v>
      </c>
      <c r="E37" s="1573">
        <f>+E34/E32</f>
        <v>0.46735179035585117</v>
      </c>
    </row>
    <row r="38" spans="2:5" x14ac:dyDescent="0.2">
      <c r="B38" s="1575" t="s">
        <v>1035</v>
      </c>
      <c r="C38" s="1574"/>
      <c r="D38" s="1574"/>
      <c r="E38" s="1574"/>
    </row>
    <row r="39" spans="2:5" x14ac:dyDescent="0.2">
      <c r="B39" s="1577" t="s">
        <v>1036</v>
      </c>
      <c r="C39" s="1578">
        <v>77391.31</v>
      </c>
      <c r="D39" s="1578">
        <v>38343.360000000001</v>
      </c>
      <c r="E39" s="1578">
        <f>+C39+D39</f>
        <v>115734.67</v>
      </c>
    </row>
    <row r="40" spans="2:5" x14ac:dyDescent="0.2">
      <c r="B40" s="1571" t="s">
        <v>1047</v>
      </c>
      <c r="C40" s="1572">
        <f>+E9+E17+E18+E22+E24+E25+E27</f>
        <v>48113.686136213357</v>
      </c>
      <c r="D40" s="1572">
        <f>+E10+E15</f>
        <v>7238.6607978840675</v>
      </c>
      <c r="E40" s="1572">
        <f>+C40+D40</f>
        <v>55352.346934097426</v>
      </c>
    </row>
    <row r="41" spans="2:5" x14ac:dyDescent="0.2">
      <c r="B41" s="1571" t="s">
        <v>1037</v>
      </c>
      <c r="C41" s="1572">
        <f>+E21+E23+E26</f>
        <v>18699.228565131143</v>
      </c>
      <c r="D41" s="1572">
        <f>+E4+E5+E6+E11+E12+E14</f>
        <v>31104.694732201897</v>
      </c>
      <c r="E41" s="1572">
        <f>+C41+D41</f>
        <v>49803.923297333036</v>
      </c>
    </row>
    <row r="42" spans="2:5" x14ac:dyDescent="0.2">
      <c r="B42" s="1571" t="s">
        <v>1048</v>
      </c>
      <c r="C42" s="1572">
        <f>+E16</f>
        <v>10578.399823672031</v>
      </c>
      <c r="D42" s="1572">
        <v>0</v>
      </c>
      <c r="E42" s="1572">
        <f>+C42+D42</f>
        <v>10578.399823672031</v>
      </c>
    </row>
    <row r="43" spans="2:5" x14ac:dyDescent="0.2">
      <c r="B43" s="1571" t="s">
        <v>1038</v>
      </c>
      <c r="C43" s="1573">
        <f>+C40/C39</f>
        <v>0.62169365186108572</v>
      </c>
      <c r="D43" s="1573">
        <f>+D40/D39</f>
        <v>0.18878524985510053</v>
      </c>
      <c r="E43" s="1573">
        <f>+E40/E39</f>
        <v>0.47826936331263076</v>
      </c>
    </row>
    <row r="44" spans="2:5" x14ac:dyDescent="0.2">
      <c r="B44" s="1571" t="s">
        <v>1039</v>
      </c>
      <c r="C44" s="1573">
        <f>+C41/C39</f>
        <v>0.24161922785815543</v>
      </c>
      <c r="D44" s="1573">
        <f>+D41/D39</f>
        <v>0.81121463356893853</v>
      </c>
      <c r="E44" s="1573">
        <f>+E41/E39</f>
        <v>0.43032846853352619</v>
      </c>
    </row>
    <row r="45" spans="2:5" x14ac:dyDescent="0.2">
      <c r="B45" s="1571" t="s">
        <v>1049</v>
      </c>
      <c r="C45" s="1573">
        <f>+C42/C39</f>
        <v>0.13668717875006936</v>
      </c>
      <c r="D45" s="1573"/>
      <c r="E45" s="1573">
        <f>+E42/E39</f>
        <v>9.1402168629953595E-2</v>
      </c>
    </row>
    <row r="46" spans="2:5" x14ac:dyDescent="0.2">
      <c r="B46" s="1579" t="s">
        <v>596</v>
      </c>
      <c r="C46" s="1580">
        <f>+C32-C39</f>
        <v>15880.690000000002</v>
      </c>
      <c r="D46" s="1580">
        <f>+D32-D39</f>
        <v>-23508.36</v>
      </c>
      <c r="E46" s="1580">
        <f>+E32-E39</f>
        <v>-7627.6699999999983</v>
      </c>
    </row>
    <row r="47" spans="2:5" x14ac:dyDescent="0.2">
      <c r="B47" s="1571" t="s">
        <v>1040</v>
      </c>
      <c r="C47" s="1573">
        <f>+C46/C32</f>
        <v>0.17026213654687369</v>
      </c>
      <c r="D47" s="1573">
        <f>+D46/D32</f>
        <v>-1.584655207280081</v>
      </c>
      <c r="E47" s="1573">
        <f>+E46/E32</f>
        <v>-7.0556670705874722E-2</v>
      </c>
    </row>
    <row r="48" spans="2:5" x14ac:dyDescent="0.2">
      <c r="B48" s="1571" t="s">
        <v>1050</v>
      </c>
      <c r="C48" s="1573">
        <f>+C39/C32</f>
        <v>0.82973786345312628</v>
      </c>
      <c r="D48" s="1573">
        <f>+D39/D32</f>
        <v>2.5846552072800808</v>
      </c>
      <c r="E48" s="1573">
        <f>+E39/E32</f>
        <v>1.0705566707058747</v>
      </c>
    </row>
  </sheetData>
  <autoFilter ref="C3:G28"/>
  <mergeCells count="4">
    <mergeCell ref="H4:H6"/>
    <mergeCell ref="D2:F2"/>
    <mergeCell ref="B2:B3"/>
    <mergeCell ref="B30:E30"/>
  </mergeCells>
  <pageMargins left="0.7" right="0.7" top="0.75" bottom="0.75" header="0.3" footer="0.3"/>
  <pageSetup scale="4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zoomScale="70" workbookViewId="0">
      <selection activeCell="A26" sqref="A2:A26"/>
    </sheetView>
  </sheetViews>
  <sheetFormatPr defaultRowHeight="14.25" x14ac:dyDescent="0.2"/>
  <cols>
    <col min="1" max="1" width="75.5703125" style="134" customWidth="1"/>
    <col min="2" max="2" width="61.140625" style="113" customWidth="1"/>
    <col min="3" max="3" width="28.28515625" style="113" hidden="1" customWidth="1"/>
    <col min="4" max="4" width="49.85546875" style="15" customWidth="1"/>
    <col min="5" max="5" width="42.42578125" style="15" customWidth="1"/>
    <col min="6" max="6" width="33.28515625" hidden="1" customWidth="1"/>
    <col min="7" max="7" width="12.5703125" customWidth="1"/>
    <col min="8" max="8" width="74.5703125" style="131" customWidth="1"/>
    <col min="10" max="10" width="43" bestFit="1" customWidth="1"/>
  </cols>
  <sheetData>
    <row r="1" spans="1:10" ht="15" x14ac:dyDescent="0.25">
      <c r="A1" s="100" t="s">
        <v>507</v>
      </c>
      <c r="B1" s="100" t="s">
        <v>508</v>
      </c>
      <c r="C1" s="101" t="s">
        <v>509</v>
      </c>
      <c r="D1" s="102" t="s">
        <v>510</v>
      </c>
      <c r="E1" s="103" t="s">
        <v>511</v>
      </c>
      <c r="F1" s="104"/>
      <c r="G1" s="105"/>
      <c r="H1" s="106"/>
      <c r="J1" s="107"/>
    </row>
    <row r="2" spans="1:10" x14ac:dyDescent="0.2">
      <c r="A2" s="108" t="s">
        <v>512</v>
      </c>
      <c r="B2" s="108" t="s">
        <v>512</v>
      </c>
      <c r="C2" s="108" t="s">
        <v>512</v>
      </c>
      <c r="D2" s="108" t="s">
        <v>512</v>
      </c>
      <c r="E2" s="108" t="s">
        <v>512</v>
      </c>
      <c r="F2" s="104"/>
      <c r="G2" s="105"/>
      <c r="H2" s="106"/>
      <c r="J2" s="108" t="s">
        <v>512</v>
      </c>
    </row>
    <row r="3" spans="1:10" ht="28.5" x14ac:dyDescent="0.2">
      <c r="A3" s="1367" t="s">
        <v>643</v>
      </c>
      <c r="B3" s="109" t="s">
        <v>513</v>
      </c>
      <c r="C3" s="110" t="s">
        <v>514</v>
      </c>
      <c r="D3" s="111" t="s">
        <v>515</v>
      </c>
      <c r="E3" s="112" t="s">
        <v>516</v>
      </c>
      <c r="F3" s="113" t="s">
        <v>517</v>
      </c>
      <c r="G3" s="105"/>
      <c r="H3" s="106"/>
      <c r="J3" s="108" t="s">
        <v>565</v>
      </c>
    </row>
    <row r="4" spans="1:10" ht="28.5" x14ac:dyDescent="0.25">
      <c r="A4" s="1368" t="s">
        <v>644</v>
      </c>
      <c r="B4" s="115" t="s">
        <v>518</v>
      </c>
      <c r="C4" s="110" t="s">
        <v>519</v>
      </c>
      <c r="D4" s="116" t="s">
        <v>520</v>
      </c>
      <c r="E4" s="117" t="s">
        <v>521</v>
      </c>
      <c r="F4" s="113" t="s">
        <v>522</v>
      </c>
      <c r="G4" s="118"/>
      <c r="H4" s="119"/>
      <c r="J4" s="120"/>
    </row>
    <row r="5" spans="1:10" ht="42.75" x14ac:dyDescent="0.25">
      <c r="A5" s="114" t="s">
        <v>523</v>
      </c>
      <c r="B5" s="115" t="s">
        <v>524</v>
      </c>
      <c r="C5" s="15"/>
      <c r="D5" s="116" t="s">
        <v>525</v>
      </c>
      <c r="E5" s="117" t="s">
        <v>526</v>
      </c>
      <c r="F5" s="113" t="s">
        <v>527</v>
      </c>
      <c r="G5" s="118"/>
      <c r="H5" s="119"/>
      <c r="J5" s="120"/>
    </row>
    <row r="6" spans="1:10" ht="42.75" x14ac:dyDescent="0.25">
      <c r="A6" s="1368" t="s">
        <v>645</v>
      </c>
      <c r="B6" s="115" t="s">
        <v>528</v>
      </c>
      <c r="C6" s="15"/>
      <c r="D6" s="116" t="s">
        <v>529</v>
      </c>
      <c r="E6" s="117" t="s">
        <v>530</v>
      </c>
      <c r="G6" s="118"/>
      <c r="H6" s="119"/>
      <c r="J6" s="120"/>
    </row>
    <row r="7" spans="1:10" ht="42.75" x14ac:dyDescent="0.25">
      <c r="A7" s="114" t="s">
        <v>531</v>
      </c>
      <c r="B7" s="115" t="s">
        <v>532</v>
      </c>
      <c r="C7" s="15"/>
      <c r="D7" s="116" t="s">
        <v>533</v>
      </c>
      <c r="E7" s="117" t="s">
        <v>534</v>
      </c>
      <c r="G7" s="118"/>
      <c r="H7" s="119"/>
      <c r="J7" s="120"/>
    </row>
    <row r="8" spans="1:10" ht="42.75" x14ac:dyDescent="0.25">
      <c r="A8" s="114" t="s">
        <v>637</v>
      </c>
      <c r="B8" s="121" t="s">
        <v>6</v>
      </c>
      <c r="C8" s="15"/>
      <c r="D8" s="116" t="s">
        <v>7</v>
      </c>
      <c r="E8" s="117" t="s">
        <v>8</v>
      </c>
      <c r="G8" s="118"/>
      <c r="H8" s="119"/>
      <c r="J8" s="120"/>
    </row>
    <row r="9" spans="1:10" ht="28.5" x14ac:dyDescent="0.25">
      <c r="A9" s="114" t="s">
        <v>9</v>
      </c>
      <c r="B9" s="122"/>
      <c r="C9" s="15"/>
      <c r="D9" s="116" t="s">
        <v>10</v>
      </c>
      <c r="E9" s="117" t="s">
        <v>11</v>
      </c>
      <c r="G9" s="118"/>
      <c r="H9" s="119"/>
      <c r="J9" s="120"/>
    </row>
    <row r="10" spans="1:10" ht="42.75" x14ac:dyDescent="0.25">
      <c r="A10" s="115" t="s">
        <v>12</v>
      </c>
      <c r="C10" s="15"/>
      <c r="D10" s="116" t="s">
        <v>13</v>
      </c>
      <c r="E10" s="117" t="s">
        <v>14</v>
      </c>
      <c r="G10" s="118"/>
      <c r="H10" s="119"/>
      <c r="J10" s="120"/>
    </row>
    <row r="11" spans="1:10" ht="42.75" x14ac:dyDescent="0.25">
      <c r="A11" s="114" t="s">
        <v>15</v>
      </c>
      <c r="C11" s="15"/>
      <c r="D11" s="116" t="s">
        <v>16</v>
      </c>
      <c r="E11" s="117" t="s">
        <v>17</v>
      </c>
      <c r="G11" s="118"/>
      <c r="H11" s="119"/>
      <c r="J11" s="120"/>
    </row>
    <row r="12" spans="1:10" ht="28.5" x14ac:dyDescent="0.25">
      <c r="A12" s="114" t="s">
        <v>18</v>
      </c>
      <c r="C12" s="15"/>
      <c r="D12" s="116" t="s">
        <v>19</v>
      </c>
      <c r="E12" s="117" t="s">
        <v>20</v>
      </c>
      <c r="G12" s="118"/>
      <c r="H12" s="119"/>
      <c r="J12" s="120"/>
    </row>
    <row r="13" spans="1:10" ht="28.5" x14ac:dyDescent="0.25">
      <c r="A13" s="114" t="s">
        <v>587</v>
      </c>
      <c r="C13" s="15"/>
      <c r="D13" s="116" t="s">
        <v>24</v>
      </c>
      <c r="E13" s="117" t="s">
        <v>25</v>
      </c>
      <c r="G13" s="118"/>
      <c r="H13" s="119"/>
      <c r="J13" s="120"/>
    </row>
    <row r="14" spans="1:10" ht="28.5" x14ac:dyDescent="0.25">
      <c r="A14" s="114" t="s">
        <v>26</v>
      </c>
      <c r="C14" s="15"/>
      <c r="D14" s="116" t="s">
        <v>27</v>
      </c>
      <c r="E14" s="117" t="s">
        <v>28</v>
      </c>
      <c r="G14" s="118"/>
      <c r="H14" s="119"/>
      <c r="J14" s="120"/>
    </row>
    <row r="15" spans="1:10" ht="42.75" x14ac:dyDescent="0.25">
      <c r="A15" s="115" t="s">
        <v>38</v>
      </c>
      <c r="B15" s="115" t="s">
        <v>29</v>
      </c>
      <c r="C15" s="15"/>
      <c r="D15" s="123" t="s">
        <v>30</v>
      </c>
      <c r="E15" s="117" t="s">
        <v>31</v>
      </c>
      <c r="G15" s="118"/>
      <c r="H15" s="119"/>
      <c r="J15" s="120"/>
    </row>
    <row r="16" spans="1:10" ht="28.5" x14ac:dyDescent="0.2">
      <c r="A16" s="115" t="s">
        <v>42</v>
      </c>
      <c r="B16" s="115" t="s">
        <v>32</v>
      </c>
      <c r="C16" s="15"/>
      <c r="D16" s="124"/>
      <c r="E16" s="117" t="s">
        <v>33</v>
      </c>
      <c r="G16" s="118"/>
      <c r="H16" s="119"/>
      <c r="J16" s="125"/>
    </row>
    <row r="17" spans="1:10" ht="28.5" x14ac:dyDescent="0.25">
      <c r="A17" s="115" t="s">
        <v>44</v>
      </c>
      <c r="B17" s="115" t="s">
        <v>34</v>
      </c>
      <c r="C17" s="15"/>
      <c r="D17" s="126"/>
      <c r="E17" s="117" t="s">
        <v>35</v>
      </c>
      <c r="G17" s="118"/>
      <c r="H17" s="119"/>
      <c r="J17" s="120"/>
    </row>
    <row r="18" spans="1:10" ht="28.5" x14ac:dyDescent="0.25">
      <c r="A18" s="115" t="s">
        <v>46</v>
      </c>
      <c r="B18" s="115" t="s">
        <v>36</v>
      </c>
      <c r="C18" s="15"/>
      <c r="D18" s="127"/>
      <c r="E18" s="117" t="s">
        <v>37</v>
      </c>
      <c r="G18" s="118"/>
      <c r="H18" s="119"/>
      <c r="J18" s="120"/>
    </row>
    <row r="19" spans="1:10" x14ac:dyDescent="0.2">
      <c r="A19" s="115" t="s">
        <v>646</v>
      </c>
      <c r="C19" s="15"/>
      <c r="E19" s="117" t="s">
        <v>39</v>
      </c>
      <c r="G19" s="118"/>
      <c r="H19" s="119"/>
    </row>
    <row r="20" spans="1:10" ht="28.5" x14ac:dyDescent="0.2">
      <c r="A20" s="114" t="s">
        <v>47</v>
      </c>
      <c r="B20" s="115" t="s">
        <v>40</v>
      </c>
      <c r="C20" s="15"/>
      <c r="E20" s="117" t="s">
        <v>41</v>
      </c>
      <c r="G20" s="118"/>
      <c r="H20" s="119"/>
    </row>
    <row r="21" spans="1:10" ht="42.75" x14ac:dyDescent="0.2">
      <c r="A21" s="114" t="s">
        <v>49</v>
      </c>
      <c r="B21" s="114" t="s">
        <v>48</v>
      </c>
      <c r="C21" s="15"/>
      <c r="E21" s="117" t="s">
        <v>43</v>
      </c>
      <c r="G21" s="118"/>
      <c r="H21" s="119"/>
    </row>
    <row r="22" spans="1:10" x14ac:dyDescent="0.2">
      <c r="A22" s="114" t="s">
        <v>50</v>
      </c>
      <c r="C22" s="15"/>
      <c r="E22" s="128" t="s">
        <v>45</v>
      </c>
      <c r="G22" s="118"/>
      <c r="H22" s="119"/>
    </row>
    <row r="23" spans="1:10" x14ac:dyDescent="0.2">
      <c r="A23" s="114" t="s">
        <v>51</v>
      </c>
      <c r="C23" s="15"/>
      <c r="E23" s="129"/>
      <c r="G23" s="105"/>
      <c r="H23" s="130"/>
    </row>
    <row r="24" spans="1:10" x14ac:dyDescent="0.2">
      <c r="A24" s="114" t="s">
        <v>52</v>
      </c>
      <c r="C24" s="15"/>
      <c r="G24" s="105"/>
      <c r="H24" s="130"/>
    </row>
    <row r="25" spans="1:10" x14ac:dyDescent="0.2">
      <c r="A25" s="1369" t="s">
        <v>53</v>
      </c>
      <c r="C25" s="15"/>
      <c r="G25" s="105"/>
      <c r="H25" s="130"/>
    </row>
    <row r="26" spans="1:10" x14ac:dyDescent="0.2">
      <c r="A26" s="1369" t="s">
        <v>647</v>
      </c>
      <c r="C26" s="15"/>
    </row>
    <row r="27" spans="1:10" x14ac:dyDescent="0.2">
      <c r="A27" s="133"/>
      <c r="C27" s="15"/>
    </row>
    <row r="28" spans="1:10" x14ac:dyDescent="0.2">
      <c r="C28" s="15"/>
      <c r="J28" s="132"/>
    </row>
    <row r="29" spans="1:10" x14ac:dyDescent="0.2">
      <c r="C29" s="15"/>
      <c r="J29" s="132"/>
    </row>
    <row r="30" spans="1:10" x14ac:dyDescent="0.2">
      <c r="C30" s="15"/>
      <c r="J30" s="132"/>
    </row>
    <row r="31" spans="1:10" x14ac:dyDescent="0.2">
      <c r="C31" s="15"/>
      <c r="J31" s="132"/>
    </row>
    <row r="32" spans="1:10" x14ac:dyDescent="0.2">
      <c r="C32" s="15"/>
      <c r="J32" s="132"/>
    </row>
    <row r="33" spans="3:10" x14ac:dyDescent="0.2">
      <c r="C33" s="15"/>
      <c r="J33" s="132"/>
    </row>
    <row r="34" spans="3:10" x14ac:dyDescent="0.2">
      <c r="C34" s="15"/>
      <c r="J34" s="132"/>
    </row>
    <row r="35" spans="3:10" x14ac:dyDescent="0.2">
      <c r="C35" s="15"/>
    </row>
    <row r="36" spans="3:10" x14ac:dyDescent="0.2">
      <c r="C36" s="15"/>
    </row>
    <row r="37" spans="3:10" x14ac:dyDescent="0.2">
      <c r="C37" s="15"/>
    </row>
    <row r="38" spans="3:10" x14ac:dyDescent="0.2">
      <c r="C38" s="15"/>
      <c r="E38" s="135"/>
    </row>
    <row r="39" spans="3:10" x14ac:dyDescent="0.2">
      <c r="C39" s="15"/>
    </row>
    <row r="40" spans="3:10" x14ac:dyDescent="0.2">
      <c r="C40" s="15"/>
    </row>
    <row r="41" spans="3:10" x14ac:dyDescent="0.2">
      <c r="C41" s="15"/>
      <c r="E41" s="136"/>
    </row>
    <row r="42" spans="3:10" x14ac:dyDescent="0.2">
      <c r="C42" s="15"/>
    </row>
    <row r="43" spans="3:10" x14ac:dyDescent="0.2">
      <c r="C43" s="15"/>
    </row>
    <row r="44" spans="3:10" x14ac:dyDescent="0.2">
      <c r="C44" s="15"/>
    </row>
    <row r="45" spans="3:10" x14ac:dyDescent="0.2">
      <c r="C45" s="15"/>
    </row>
    <row r="46" spans="3:10" x14ac:dyDescent="0.2">
      <c r="C46" s="15"/>
    </row>
    <row r="47" spans="3:10" x14ac:dyDescent="0.2">
      <c r="C47" s="15"/>
    </row>
    <row r="48" spans="3:10" x14ac:dyDescent="0.2">
      <c r="C48" s="15"/>
    </row>
    <row r="49" spans="3:5" x14ac:dyDescent="0.2">
      <c r="C49" s="15"/>
    </row>
    <row r="50" spans="3:5" x14ac:dyDescent="0.2">
      <c r="C50" s="15"/>
    </row>
    <row r="51" spans="3:5" x14ac:dyDescent="0.2">
      <c r="C51" s="15"/>
    </row>
    <row r="52" spans="3:5" x14ac:dyDescent="0.2">
      <c r="C52" s="15"/>
    </row>
    <row r="53" spans="3:5" x14ac:dyDescent="0.2">
      <c r="C53" s="15"/>
      <c r="E53" s="136"/>
    </row>
    <row r="54" spans="3:5" x14ac:dyDescent="0.2">
      <c r="C54" s="15"/>
      <c r="E54" s="136"/>
    </row>
    <row r="55" spans="3:5" x14ac:dyDescent="0.2">
      <c r="C55" s="15"/>
    </row>
    <row r="56" spans="3:5" x14ac:dyDescent="0.2">
      <c r="C56" s="15"/>
    </row>
    <row r="60" spans="3:5" x14ac:dyDescent="0.2">
      <c r="E60" s="137"/>
    </row>
  </sheetData>
  <customSheetViews>
    <customSheetView guid="{E26F941C-F347-432D-B4B3-73B25F002075}" scale="70" hiddenColumns="1" state="hidden">
      <selection activeCell="E33" sqref="E33"/>
      <pageMargins left="0.17" right="0.16" top="0.19" bottom="0.17" header="0.17" footer="0.17"/>
      <pageSetup paperSize="9" scale="70" orientation="landscape" r:id="rId1"/>
      <headerFooter alignWithMargins="0"/>
    </customSheetView>
  </customSheetViews>
  <phoneticPr fontId="29" type="noConversion"/>
  <pageMargins left="0.17" right="0.16" top="0.19" bottom="0.17" header="0.17" footer="0.17"/>
  <pageSetup paperSize="9" scale="70" orientation="landscape" r:id="rId2"/>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zoomScale="85" workbookViewId="0">
      <selection activeCell="A14" sqref="A14"/>
    </sheetView>
  </sheetViews>
  <sheetFormatPr defaultRowHeight="14.25" x14ac:dyDescent="0.2"/>
  <cols>
    <col min="1" max="1" width="69.28515625" style="150" customWidth="1"/>
    <col min="2" max="2" width="74" style="150" customWidth="1"/>
    <col min="3" max="3" width="0" style="136" hidden="1" customWidth="1"/>
    <col min="4" max="4" width="29.5703125" style="136" customWidth="1"/>
    <col min="5" max="5" width="40.140625" style="150" customWidth="1"/>
    <col min="6" max="6" width="41.7109375" customWidth="1"/>
  </cols>
  <sheetData>
    <row r="1" spans="1:7" ht="15" x14ac:dyDescent="0.25">
      <c r="A1" s="100" t="s">
        <v>507</v>
      </c>
      <c r="B1" s="100" t="s">
        <v>508</v>
      </c>
      <c r="C1" s="103" t="s">
        <v>509</v>
      </c>
      <c r="D1" s="102" t="s">
        <v>510</v>
      </c>
      <c r="E1" s="138" t="s">
        <v>511</v>
      </c>
      <c r="G1" s="3"/>
    </row>
    <row r="2" spans="1:7" ht="28.5" x14ac:dyDescent="0.2">
      <c r="A2" s="139" t="s">
        <v>54</v>
      </c>
      <c r="B2" s="139" t="s">
        <v>54</v>
      </c>
      <c r="C2" s="139" t="s">
        <v>54</v>
      </c>
      <c r="D2" s="139" t="s">
        <v>54</v>
      </c>
      <c r="E2" s="139" t="s">
        <v>54</v>
      </c>
      <c r="G2" s="3"/>
    </row>
    <row r="3" spans="1:7" x14ac:dyDescent="0.2">
      <c r="A3" s="139" t="s">
        <v>55</v>
      </c>
      <c r="B3" s="139" t="s">
        <v>56</v>
      </c>
      <c r="C3" s="110" t="s">
        <v>514</v>
      </c>
      <c r="D3" s="140" t="s">
        <v>57</v>
      </c>
      <c r="E3" s="112" t="s">
        <v>516</v>
      </c>
      <c r="G3" s="20"/>
    </row>
    <row r="4" spans="1:7" ht="28.5" x14ac:dyDescent="0.2">
      <c r="A4" s="141" t="s">
        <v>58</v>
      </c>
      <c r="B4" s="141" t="s">
        <v>59</v>
      </c>
      <c r="C4" s="110" t="s">
        <v>519</v>
      </c>
      <c r="D4" s="142" t="s">
        <v>60</v>
      </c>
      <c r="E4" s="117" t="s">
        <v>521</v>
      </c>
      <c r="G4" s="20"/>
    </row>
    <row r="5" spans="1:7" x14ac:dyDescent="0.2">
      <c r="A5" s="141" t="s">
        <v>91</v>
      </c>
      <c r="B5" s="143" t="s">
        <v>92</v>
      </c>
      <c r="C5" s="15"/>
      <c r="D5" s="144" t="s">
        <v>93</v>
      </c>
      <c r="E5" s="117" t="s">
        <v>526</v>
      </c>
      <c r="G5" s="20"/>
    </row>
    <row r="6" spans="1:7" x14ac:dyDescent="0.2">
      <c r="A6" s="141" t="s">
        <v>94</v>
      </c>
      <c r="B6" s="145"/>
      <c r="C6" s="15"/>
      <c r="D6" s="15"/>
      <c r="E6" s="117" t="s">
        <v>530</v>
      </c>
      <c r="G6" s="20"/>
    </row>
    <row r="7" spans="1:7" ht="28.5" x14ac:dyDescent="0.2">
      <c r="A7" s="141" t="s">
        <v>95</v>
      </c>
      <c r="B7" s="145"/>
      <c r="C7" s="15"/>
      <c r="D7" s="15"/>
      <c r="E7" s="117" t="s">
        <v>534</v>
      </c>
      <c r="G7" s="20"/>
    </row>
    <row r="8" spans="1:7" ht="28.5" x14ac:dyDescent="0.2">
      <c r="A8" s="141" t="s">
        <v>96</v>
      </c>
      <c r="B8" s="145"/>
      <c r="C8" s="15"/>
      <c r="D8" s="15"/>
      <c r="E8" s="117" t="s">
        <v>8</v>
      </c>
      <c r="G8" s="20"/>
    </row>
    <row r="9" spans="1:7" x14ac:dyDescent="0.2">
      <c r="A9" s="141" t="s">
        <v>97</v>
      </c>
      <c r="B9" s="146"/>
      <c r="C9" s="15"/>
      <c r="D9" s="15"/>
      <c r="E9" s="117" t="s">
        <v>11</v>
      </c>
      <c r="G9" s="20"/>
    </row>
    <row r="10" spans="1:7" x14ac:dyDescent="0.2">
      <c r="A10" s="141" t="s">
        <v>98</v>
      </c>
      <c r="B10" s="146"/>
      <c r="C10" s="15"/>
      <c r="D10" s="15"/>
      <c r="E10" s="117" t="s">
        <v>14</v>
      </c>
      <c r="G10" s="20"/>
    </row>
    <row r="11" spans="1:7" x14ac:dyDescent="0.2">
      <c r="A11" s="141" t="s">
        <v>99</v>
      </c>
      <c r="B11" s="146"/>
      <c r="C11" s="15"/>
      <c r="D11" s="15"/>
      <c r="E11" s="117" t="s">
        <v>17</v>
      </c>
      <c r="G11" s="20"/>
    </row>
    <row r="12" spans="1:7" ht="28.5" x14ac:dyDescent="0.2">
      <c r="A12" s="141" t="s">
        <v>107</v>
      </c>
      <c r="B12" s="146"/>
      <c r="C12" s="15"/>
      <c r="D12" s="15"/>
      <c r="E12" s="117" t="s">
        <v>20</v>
      </c>
      <c r="G12" s="20"/>
    </row>
    <row r="13" spans="1:7" x14ac:dyDescent="0.2">
      <c r="A13" s="141" t="s">
        <v>108</v>
      </c>
      <c r="B13" s="146"/>
      <c r="C13" s="15"/>
      <c r="D13" s="15"/>
      <c r="E13" s="117" t="s">
        <v>25</v>
      </c>
      <c r="G13" s="20"/>
    </row>
    <row r="14" spans="1:7" x14ac:dyDescent="0.2">
      <c r="A14" s="141" t="s">
        <v>109</v>
      </c>
      <c r="B14" s="146"/>
      <c r="C14" s="15"/>
      <c r="D14" s="15"/>
      <c r="E14" s="117" t="s">
        <v>28</v>
      </c>
      <c r="G14" s="20"/>
    </row>
    <row r="15" spans="1:7" x14ac:dyDescent="0.2">
      <c r="A15" s="1382" t="s">
        <v>110</v>
      </c>
      <c r="B15" s="146"/>
      <c r="C15" s="15"/>
      <c r="D15" s="15"/>
      <c r="E15" s="117"/>
      <c r="G15" s="20"/>
    </row>
    <row r="16" spans="1:7" x14ac:dyDescent="0.2">
      <c r="A16" s="1382" t="s">
        <v>650</v>
      </c>
      <c r="B16" s="146"/>
      <c r="C16" s="15"/>
      <c r="D16" s="15"/>
      <c r="E16" s="117"/>
      <c r="G16" s="20"/>
    </row>
    <row r="17" spans="1:7" ht="28.5" x14ac:dyDescent="0.2">
      <c r="A17" s="128" t="s">
        <v>646</v>
      </c>
      <c r="B17" s="146"/>
      <c r="C17" s="15"/>
      <c r="D17" s="15"/>
      <c r="E17" s="117" t="s">
        <v>31</v>
      </c>
      <c r="G17" s="20"/>
    </row>
    <row r="18" spans="1:7" x14ac:dyDescent="0.2">
      <c r="A18" s="146"/>
      <c r="B18" s="146"/>
      <c r="C18" s="15"/>
      <c r="D18" s="15"/>
      <c r="E18" s="117" t="s">
        <v>33</v>
      </c>
      <c r="G18" s="20"/>
    </row>
    <row r="19" spans="1:7" x14ac:dyDescent="0.2">
      <c r="A19" s="146"/>
      <c r="B19" s="146"/>
      <c r="C19" s="15"/>
      <c r="D19" s="15"/>
      <c r="E19" s="117" t="s">
        <v>35</v>
      </c>
      <c r="G19" s="20"/>
    </row>
    <row r="20" spans="1:7" x14ac:dyDescent="0.2">
      <c r="A20" s="146"/>
      <c r="B20" s="146"/>
      <c r="C20" s="15"/>
      <c r="D20" s="15"/>
      <c r="E20" s="117" t="s">
        <v>37</v>
      </c>
    </row>
    <row r="21" spans="1:7" x14ac:dyDescent="0.2">
      <c r="A21" s="146"/>
      <c r="B21" s="146"/>
      <c r="C21" s="15"/>
      <c r="D21" s="15"/>
      <c r="E21" s="117" t="s">
        <v>39</v>
      </c>
    </row>
    <row r="22" spans="1:7" x14ac:dyDescent="0.2">
      <c r="A22" s="146"/>
      <c r="B22" s="146"/>
      <c r="C22" s="15"/>
      <c r="D22" s="15"/>
      <c r="E22" s="117" t="s">
        <v>41</v>
      </c>
    </row>
    <row r="23" spans="1:7" ht="42.75" x14ac:dyDescent="0.2">
      <c r="A23" s="146"/>
      <c r="B23" s="146"/>
      <c r="C23" s="15"/>
      <c r="D23" s="15"/>
      <c r="E23" s="117" t="s">
        <v>43</v>
      </c>
    </row>
    <row r="24" spans="1:7" x14ac:dyDescent="0.2">
      <c r="A24" s="146"/>
      <c r="B24" s="113"/>
      <c r="C24" s="15"/>
      <c r="D24" s="15"/>
      <c r="E24" s="117" t="s">
        <v>45</v>
      </c>
    </row>
    <row r="25" spans="1:7" x14ac:dyDescent="0.2">
      <c r="A25" s="146"/>
      <c r="B25" s="113"/>
      <c r="C25" s="15"/>
      <c r="D25" s="15"/>
      <c r="E25" s="117" t="s">
        <v>111</v>
      </c>
    </row>
    <row r="26" spans="1:7" ht="28.5" x14ac:dyDescent="0.2">
      <c r="A26" s="113"/>
      <c r="B26" s="113"/>
      <c r="C26" s="15"/>
      <c r="D26" s="15"/>
      <c r="E26" s="117" t="s">
        <v>112</v>
      </c>
    </row>
    <row r="27" spans="1:7" x14ac:dyDescent="0.2">
      <c r="A27" s="113"/>
      <c r="B27" s="113"/>
      <c r="C27" s="15"/>
      <c r="D27" s="15"/>
      <c r="E27" s="147" t="s">
        <v>113</v>
      </c>
    </row>
    <row r="28" spans="1:7" x14ac:dyDescent="0.2">
      <c r="A28" s="113"/>
      <c r="B28" s="113"/>
      <c r="C28" s="15"/>
      <c r="D28" s="15"/>
      <c r="E28" s="148"/>
    </row>
    <row r="29" spans="1:7" x14ac:dyDescent="0.2">
      <c r="A29" s="113"/>
      <c r="B29" s="113"/>
      <c r="C29" s="15"/>
      <c r="D29" s="15"/>
      <c r="E29" s="149"/>
    </row>
    <row r="30" spans="1:7" x14ac:dyDescent="0.2">
      <c r="A30" s="113"/>
      <c r="B30" s="113"/>
      <c r="C30" s="15"/>
      <c r="D30" s="15"/>
    </row>
    <row r="31" spans="1:7" x14ac:dyDescent="0.2">
      <c r="A31" s="113"/>
      <c r="B31" s="113"/>
      <c r="C31" s="15"/>
      <c r="D31" s="15"/>
    </row>
    <row r="32" spans="1:7" x14ac:dyDescent="0.2">
      <c r="A32" s="113"/>
      <c r="B32" s="113"/>
      <c r="C32" s="15"/>
      <c r="D32" s="15"/>
    </row>
    <row r="33" spans="1:5" x14ac:dyDescent="0.2">
      <c r="A33" s="134"/>
      <c r="B33" s="113"/>
      <c r="C33" s="15"/>
      <c r="D33" s="15"/>
    </row>
    <row r="34" spans="1:5" x14ac:dyDescent="0.2">
      <c r="A34" s="134"/>
      <c r="B34" s="113"/>
      <c r="C34" s="15"/>
      <c r="D34" s="15"/>
    </row>
    <row r="35" spans="1:5" x14ac:dyDescent="0.2">
      <c r="A35" s="134"/>
      <c r="B35" s="113"/>
      <c r="C35" s="15"/>
      <c r="D35" s="15"/>
    </row>
    <row r="36" spans="1:5" x14ac:dyDescent="0.2">
      <c r="A36" s="134"/>
      <c r="B36" s="113"/>
      <c r="C36" s="15"/>
      <c r="D36" s="15"/>
    </row>
    <row r="37" spans="1:5" x14ac:dyDescent="0.2">
      <c r="A37" s="134"/>
      <c r="B37" s="113"/>
      <c r="C37" s="15"/>
      <c r="D37" s="15"/>
      <c r="E37" s="113"/>
    </row>
    <row r="38" spans="1:5" x14ac:dyDescent="0.2">
      <c r="A38" s="134"/>
      <c r="B38" s="113"/>
      <c r="C38" s="15"/>
      <c r="D38" s="15"/>
      <c r="E38" s="113"/>
    </row>
    <row r="39" spans="1:5" x14ac:dyDescent="0.2">
      <c r="A39" s="134"/>
      <c r="B39" s="113"/>
      <c r="C39" s="15"/>
      <c r="D39" s="15"/>
      <c r="E39" s="113"/>
    </row>
    <row r="40" spans="1:5" x14ac:dyDescent="0.2">
      <c r="A40" s="134"/>
      <c r="B40" s="113"/>
      <c r="C40" s="15"/>
      <c r="D40" s="15"/>
      <c r="E40" s="113"/>
    </row>
  </sheetData>
  <customSheetViews>
    <customSheetView guid="{E26F941C-F347-432D-B4B3-73B25F002075}" scale="85" hiddenRows="1" hiddenColumns="1" state="hidden" topLeftCell="B1">
      <selection activeCell="E3" sqref="E3:E25"/>
      <pageMargins left="0.17" right="0.16" top="0.17" bottom="1" header="0.17" footer="0.5"/>
      <pageSetup paperSize="9" scale="60" orientation="landscape" r:id="rId1"/>
      <headerFooter alignWithMargins="0"/>
    </customSheetView>
  </customSheetViews>
  <phoneticPr fontId="29" type="noConversion"/>
  <pageMargins left="0.17" right="0.16" top="0.17" bottom="1" header="0.17" footer="0.5"/>
  <pageSetup paperSize="9" scale="60" orientation="landscape" r:id="rId2"/>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opLeftCell="A3" workbookViewId="0">
      <selection activeCell="A19" sqref="A19"/>
    </sheetView>
  </sheetViews>
  <sheetFormatPr defaultRowHeight="12.75" x14ac:dyDescent="0.2"/>
  <cols>
    <col min="1" max="1" width="51" style="163" customWidth="1"/>
    <col min="2" max="2" width="72.140625" style="164" customWidth="1"/>
    <col min="3" max="3" width="0" hidden="1" customWidth="1"/>
    <col min="4" max="4" width="50.5703125" customWidth="1"/>
    <col min="5" max="5" width="49.42578125" customWidth="1"/>
    <col min="6" max="6" width="50.42578125" customWidth="1"/>
  </cols>
  <sheetData>
    <row r="1" spans="1:12" x14ac:dyDescent="0.2">
      <c r="A1" s="151" t="s">
        <v>507</v>
      </c>
      <c r="B1" s="151" t="s">
        <v>508</v>
      </c>
      <c r="C1" s="152" t="s">
        <v>509</v>
      </c>
      <c r="D1" s="153" t="s">
        <v>510</v>
      </c>
      <c r="E1" s="153" t="s">
        <v>511</v>
      </c>
      <c r="G1" s="3"/>
      <c r="H1" s="3"/>
      <c r="I1" s="3"/>
      <c r="J1" s="3"/>
    </row>
    <row r="2" spans="1:12" ht="28.5" x14ac:dyDescent="0.2">
      <c r="A2" s="154" t="s">
        <v>54</v>
      </c>
      <c r="B2" s="154" t="s">
        <v>54</v>
      </c>
      <c r="C2" s="154" t="s">
        <v>54</v>
      </c>
      <c r="D2" s="154" t="s">
        <v>54</v>
      </c>
      <c r="E2" s="154" t="s">
        <v>54</v>
      </c>
      <c r="G2" s="3"/>
      <c r="H2" s="3"/>
      <c r="I2" s="3"/>
      <c r="J2" s="3"/>
    </row>
    <row r="3" spans="1:12" ht="42.75" x14ac:dyDescent="0.2">
      <c r="A3" s="1380" t="s">
        <v>648</v>
      </c>
      <c r="B3" s="139" t="s">
        <v>114</v>
      </c>
      <c r="C3" s="155" t="s">
        <v>514</v>
      </c>
      <c r="D3" s="140" t="s">
        <v>115</v>
      </c>
      <c r="E3" s="112" t="s">
        <v>516</v>
      </c>
      <c r="G3" s="20"/>
      <c r="H3" s="20"/>
      <c r="I3" s="20"/>
      <c r="J3" s="20"/>
    </row>
    <row r="4" spans="1:12" ht="42.75" x14ac:dyDescent="0.2">
      <c r="A4" s="1381" t="s">
        <v>649</v>
      </c>
      <c r="B4" s="141" t="s">
        <v>116</v>
      </c>
      <c r="C4" s="155" t="s">
        <v>519</v>
      </c>
      <c r="D4" s="142" t="s">
        <v>117</v>
      </c>
      <c r="E4" s="117" t="s">
        <v>521</v>
      </c>
      <c r="G4" s="20"/>
      <c r="H4" s="20"/>
      <c r="I4" s="20"/>
      <c r="J4" s="20"/>
      <c r="K4" s="157"/>
      <c r="L4" s="157"/>
    </row>
    <row r="5" spans="1:12" ht="42.75" x14ac:dyDescent="0.2">
      <c r="A5" s="158" t="s">
        <v>118</v>
      </c>
      <c r="B5" s="141" t="s">
        <v>119</v>
      </c>
      <c r="C5" s="3"/>
      <c r="D5" s="142" t="s">
        <v>120</v>
      </c>
      <c r="E5" s="117" t="s">
        <v>526</v>
      </c>
      <c r="G5" s="20"/>
      <c r="H5" s="20"/>
      <c r="I5" s="20"/>
      <c r="J5" s="20"/>
      <c r="K5" s="157"/>
      <c r="L5" s="157"/>
    </row>
    <row r="6" spans="1:12" ht="28.5" x14ac:dyDescent="0.2">
      <c r="A6" s="158" t="s">
        <v>121</v>
      </c>
      <c r="B6" s="141" t="s">
        <v>122</v>
      </c>
      <c r="C6" s="3"/>
      <c r="D6" s="142" t="s">
        <v>539</v>
      </c>
      <c r="E6" s="117" t="s">
        <v>540</v>
      </c>
      <c r="G6" s="20"/>
      <c r="H6" s="20"/>
      <c r="I6" s="20"/>
      <c r="J6" s="20"/>
      <c r="K6" s="157"/>
      <c r="L6" s="157"/>
    </row>
    <row r="7" spans="1:12" ht="14.25" x14ac:dyDescent="0.2">
      <c r="A7" s="158" t="s">
        <v>541</v>
      </c>
      <c r="B7" s="141" t="s">
        <v>542</v>
      </c>
      <c r="C7" s="3"/>
      <c r="D7" s="142" t="s">
        <v>543</v>
      </c>
      <c r="E7" s="117" t="s">
        <v>534</v>
      </c>
      <c r="G7" s="20"/>
      <c r="H7" s="20"/>
      <c r="I7" s="20"/>
      <c r="J7" s="20"/>
      <c r="K7" s="157"/>
      <c r="L7" s="157"/>
    </row>
    <row r="8" spans="1:12" ht="28.5" x14ac:dyDescent="0.2">
      <c r="A8" s="156" t="s">
        <v>544</v>
      </c>
      <c r="B8" s="141" t="s">
        <v>545</v>
      </c>
      <c r="C8" s="3"/>
      <c r="D8" s="142" t="s">
        <v>546</v>
      </c>
      <c r="E8" s="117" t="s">
        <v>8</v>
      </c>
      <c r="G8" s="20"/>
      <c r="H8" s="20"/>
      <c r="I8" s="20"/>
      <c r="J8" s="20"/>
      <c r="K8" s="157"/>
      <c r="L8" s="157"/>
    </row>
    <row r="9" spans="1:12" ht="42.75" x14ac:dyDescent="0.2">
      <c r="A9" s="156" t="s">
        <v>547</v>
      </c>
      <c r="B9" s="141" t="s">
        <v>548</v>
      </c>
      <c r="C9" s="3"/>
      <c r="D9" s="142" t="s">
        <v>549</v>
      </c>
      <c r="E9" s="117" t="s">
        <v>11</v>
      </c>
      <c r="G9" s="20"/>
      <c r="H9" s="20"/>
      <c r="I9" s="20"/>
      <c r="J9" s="20"/>
      <c r="K9" s="157"/>
      <c r="L9" s="157"/>
    </row>
    <row r="10" spans="1:12" ht="14.25" x14ac:dyDescent="0.2">
      <c r="A10" s="156" t="s">
        <v>552</v>
      </c>
      <c r="B10" s="128" t="s">
        <v>553</v>
      </c>
      <c r="C10" s="3"/>
      <c r="D10" s="144" t="s">
        <v>554</v>
      </c>
      <c r="E10" s="117" t="s">
        <v>555</v>
      </c>
      <c r="G10" s="20"/>
      <c r="H10" s="20"/>
      <c r="I10" s="20"/>
      <c r="J10" s="20"/>
      <c r="K10" s="157"/>
      <c r="L10" s="157"/>
    </row>
    <row r="11" spans="1:12" ht="14.25" x14ac:dyDescent="0.2">
      <c r="A11" s="156" t="s">
        <v>556</v>
      </c>
      <c r="B11" s="113"/>
      <c r="C11" s="3"/>
      <c r="D11" s="15"/>
      <c r="E11" s="117" t="s">
        <v>557</v>
      </c>
      <c r="G11" s="20"/>
      <c r="H11" s="20"/>
      <c r="I11" s="20"/>
      <c r="J11" s="20"/>
      <c r="K11" s="157"/>
      <c r="L11" s="157"/>
    </row>
    <row r="12" spans="1:12" ht="14.25" x14ac:dyDescent="0.2">
      <c r="A12" s="156" t="s">
        <v>558</v>
      </c>
      <c r="B12" s="113"/>
      <c r="C12" s="3"/>
      <c r="D12" s="15"/>
      <c r="E12" s="117" t="s">
        <v>14</v>
      </c>
      <c r="G12" s="20"/>
      <c r="H12" s="20"/>
      <c r="I12" s="20"/>
      <c r="J12" s="20"/>
      <c r="K12" s="157"/>
      <c r="L12" s="157"/>
    </row>
    <row r="13" spans="1:12" ht="14.25" x14ac:dyDescent="0.2">
      <c r="A13" s="156" t="s">
        <v>559</v>
      </c>
      <c r="B13" s="113"/>
      <c r="C13" s="3"/>
      <c r="D13" s="15"/>
      <c r="E13" s="117" t="s">
        <v>17</v>
      </c>
      <c r="G13" s="20"/>
      <c r="H13" s="20"/>
      <c r="I13" s="20"/>
      <c r="J13" s="20"/>
      <c r="K13" s="157"/>
      <c r="L13" s="157"/>
    </row>
    <row r="14" spans="1:12" ht="28.5" x14ac:dyDescent="0.2">
      <c r="A14" s="156" t="s">
        <v>560</v>
      </c>
      <c r="B14" s="113"/>
      <c r="C14" s="3"/>
      <c r="D14" s="15"/>
      <c r="E14" s="117" t="s">
        <v>20</v>
      </c>
      <c r="G14" s="20"/>
      <c r="H14" s="20"/>
      <c r="I14" s="20"/>
      <c r="J14" s="20"/>
      <c r="K14" s="157"/>
      <c r="L14" s="157"/>
    </row>
    <row r="15" spans="1:12" ht="42.75" x14ac:dyDescent="0.2">
      <c r="A15" s="156" t="s">
        <v>561</v>
      </c>
      <c r="B15" s="113"/>
      <c r="C15" s="3"/>
      <c r="D15" s="15"/>
      <c r="E15" s="117" t="s">
        <v>25</v>
      </c>
      <c r="G15" s="20"/>
      <c r="H15" s="20"/>
      <c r="I15" s="20"/>
      <c r="J15" s="20"/>
      <c r="K15" s="157"/>
      <c r="L15" s="157"/>
    </row>
    <row r="16" spans="1:12" ht="14.25" x14ac:dyDescent="0.2">
      <c r="A16" s="156" t="s">
        <v>562</v>
      </c>
      <c r="B16" s="113"/>
      <c r="C16" s="3"/>
      <c r="D16" s="15"/>
      <c r="E16" s="117" t="s">
        <v>28</v>
      </c>
      <c r="G16" s="20"/>
      <c r="H16" s="20"/>
      <c r="I16" s="20"/>
      <c r="J16" s="20"/>
      <c r="K16" s="157"/>
      <c r="L16" s="157"/>
    </row>
    <row r="17" spans="1:12" ht="28.5" x14ac:dyDescent="0.2">
      <c r="A17" s="156" t="s">
        <v>646</v>
      </c>
      <c r="B17" s="113"/>
      <c r="C17" s="3"/>
      <c r="D17" s="15"/>
      <c r="E17" s="117" t="s">
        <v>31</v>
      </c>
      <c r="G17" s="20"/>
      <c r="H17" s="20"/>
      <c r="I17" s="20"/>
      <c r="J17" s="20"/>
      <c r="K17" s="157"/>
      <c r="L17" s="157"/>
    </row>
    <row r="18" spans="1:12" ht="14.25" x14ac:dyDescent="0.2">
      <c r="A18" s="1381" t="s">
        <v>47</v>
      </c>
      <c r="B18" s="113"/>
      <c r="C18" s="3"/>
      <c r="D18" s="15"/>
      <c r="E18" s="117" t="s">
        <v>33</v>
      </c>
      <c r="G18" s="3"/>
      <c r="H18" s="3"/>
      <c r="I18" s="3"/>
      <c r="J18" s="3"/>
      <c r="K18" s="157"/>
      <c r="L18" s="157"/>
    </row>
    <row r="19" spans="1:12" ht="14.25" x14ac:dyDescent="0.2">
      <c r="A19" s="156" t="s">
        <v>49</v>
      </c>
      <c r="B19" s="159"/>
      <c r="C19" s="3"/>
      <c r="D19" s="15"/>
      <c r="E19" s="117" t="s">
        <v>35</v>
      </c>
      <c r="G19" s="3"/>
      <c r="H19" s="3"/>
      <c r="I19" s="3"/>
      <c r="J19" s="3"/>
    </row>
    <row r="20" spans="1:12" ht="14.25" x14ac:dyDescent="0.2">
      <c r="A20" s="156" t="s">
        <v>50</v>
      </c>
      <c r="B20" s="159"/>
      <c r="C20" s="3"/>
      <c r="D20" s="15"/>
      <c r="E20" s="117" t="s">
        <v>37</v>
      </c>
      <c r="G20" s="3"/>
      <c r="H20" s="3"/>
      <c r="I20" s="3"/>
      <c r="J20" s="3"/>
    </row>
    <row r="21" spans="1:12" ht="14.25" x14ac:dyDescent="0.2">
      <c r="A21" s="156" t="s">
        <v>51</v>
      </c>
      <c r="B21" s="159"/>
      <c r="C21" s="3"/>
      <c r="D21" s="15"/>
      <c r="E21" s="117" t="s">
        <v>39</v>
      </c>
      <c r="G21" s="3"/>
      <c r="H21" s="3"/>
      <c r="I21" s="3"/>
      <c r="J21" s="3"/>
    </row>
    <row r="22" spans="1:12" ht="14.25" x14ac:dyDescent="0.2">
      <c r="A22" s="156" t="s">
        <v>52</v>
      </c>
      <c r="B22" s="113"/>
      <c r="C22" s="3"/>
      <c r="D22" s="15"/>
      <c r="E22" s="117" t="s">
        <v>41</v>
      </c>
      <c r="G22" s="3"/>
      <c r="H22" s="3"/>
      <c r="I22" s="3"/>
      <c r="J22" s="3"/>
    </row>
    <row r="23" spans="1:12" ht="42.75" x14ac:dyDescent="0.2">
      <c r="A23" s="156" t="s">
        <v>53</v>
      </c>
      <c r="B23" s="113"/>
      <c r="C23" s="3"/>
      <c r="D23" s="15"/>
      <c r="E23" s="117" t="s">
        <v>43</v>
      </c>
      <c r="G23" s="3"/>
      <c r="H23" s="3"/>
      <c r="I23" s="3"/>
      <c r="J23" s="3"/>
    </row>
    <row r="24" spans="1:12" ht="14.25" x14ac:dyDescent="0.2">
      <c r="A24" s="160" t="s">
        <v>563</v>
      </c>
      <c r="B24" s="113"/>
      <c r="C24" s="3"/>
      <c r="D24" s="15"/>
      <c r="E24" s="117" t="s">
        <v>45</v>
      </c>
      <c r="G24" s="3"/>
      <c r="H24" s="3"/>
      <c r="I24" s="3"/>
      <c r="J24" s="3"/>
    </row>
    <row r="25" spans="1:12" ht="14.25" x14ac:dyDescent="0.2">
      <c r="A25" s="161"/>
      <c r="B25" s="113"/>
      <c r="C25" s="3"/>
      <c r="D25" s="3"/>
      <c r="E25" s="160" t="s">
        <v>564</v>
      </c>
      <c r="G25" s="3"/>
      <c r="H25" s="3"/>
      <c r="I25" s="3"/>
      <c r="J25" s="3"/>
    </row>
    <row r="26" spans="1:12" ht="14.25" x14ac:dyDescent="0.2">
      <c r="A26" s="161"/>
      <c r="B26" s="113"/>
      <c r="C26" s="3"/>
      <c r="D26" s="3"/>
      <c r="E26" s="136"/>
      <c r="F26" s="3"/>
    </row>
    <row r="27" spans="1:12" ht="14.25" x14ac:dyDescent="0.2">
      <c r="A27" s="161"/>
      <c r="B27" s="113"/>
      <c r="C27" s="3"/>
      <c r="D27" s="3"/>
      <c r="E27" s="136"/>
    </row>
    <row r="28" spans="1:12" ht="14.25" x14ac:dyDescent="0.2">
      <c r="A28" s="161"/>
      <c r="B28" s="113"/>
      <c r="C28" s="3"/>
      <c r="D28" s="3"/>
      <c r="E28" s="15"/>
    </row>
    <row r="29" spans="1:12" ht="14.25" x14ac:dyDescent="0.2">
      <c r="A29" s="161"/>
      <c r="B29" s="113"/>
      <c r="C29" s="3"/>
      <c r="D29" s="3"/>
      <c r="E29" s="15"/>
    </row>
    <row r="30" spans="1:12" ht="14.25" x14ac:dyDescent="0.2">
      <c r="A30" s="161"/>
      <c r="B30" s="113"/>
      <c r="C30" s="3"/>
      <c r="D30" s="3"/>
      <c r="E30" s="15"/>
    </row>
    <row r="31" spans="1:12" ht="14.25" x14ac:dyDescent="0.2">
      <c r="A31" s="161"/>
      <c r="B31" s="113"/>
      <c r="C31" s="3"/>
      <c r="D31" s="3"/>
      <c r="E31" s="15"/>
    </row>
    <row r="32" spans="1:12" ht="14.25" x14ac:dyDescent="0.2">
      <c r="A32" s="162"/>
      <c r="B32" s="113"/>
      <c r="C32" s="3"/>
      <c r="D32" s="3"/>
      <c r="E32" s="15"/>
    </row>
    <row r="33" spans="1:5" ht="14.25" x14ac:dyDescent="0.2">
      <c r="A33" s="162"/>
      <c r="B33" s="113"/>
      <c r="C33" s="3"/>
      <c r="D33" s="3"/>
      <c r="E33" s="15"/>
    </row>
    <row r="34" spans="1:5" ht="14.25" x14ac:dyDescent="0.2">
      <c r="A34" s="162"/>
      <c r="B34" s="113"/>
      <c r="C34" s="3"/>
      <c r="D34" s="3"/>
      <c r="E34" s="15"/>
    </row>
    <row r="35" spans="1:5" ht="14.25" x14ac:dyDescent="0.2">
      <c r="A35" s="162"/>
      <c r="B35" s="113"/>
      <c r="C35" s="3"/>
      <c r="D35" s="3"/>
      <c r="E35" s="15"/>
    </row>
    <row r="36" spans="1:5" ht="14.25" x14ac:dyDescent="0.2">
      <c r="A36" s="162"/>
      <c r="B36" s="113"/>
      <c r="C36" s="3"/>
      <c r="D36" s="3"/>
      <c r="E36" s="15"/>
    </row>
    <row r="37" spans="1:5" ht="14.25" x14ac:dyDescent="0.2">
      <c r="A37" s="162"/>
      <c r="B37" s="113"/>
      <c r="C37" s="3"/>
      <c r="D37" s="3"/>
      <c r="E37" s="15"/>
    </row>
    <row r="38" spans="1:5" ht="14.25" x14ac:dyDescent="0.2">
      <c r="A38" s="162"/>
      <c r="B38" s="113"/>
      <c r="C38" s="3"/>
      <c r="D38" s="3"/>
      <c r="E38" s="15"/>
    </row>
    <row r="39" spans="1:5" ht="14.25" x14ac:dyDescent="0.2">
      <c r="A39" s="162"/>
      <c r="B39" s="113"/>
      <c r="C39" s="3"/>
      <c r="D39" s="3"/>
      <c r="E39" s="15"/>
    </row>
    <row r="40" spans="1:5" ht="14.25" x14ac:dyDescent="0.2">
      <c r="A40" s="162"/>
      <c r="B40" s="113"/>
      <c r="C40" s="3"/>
      <c r="D40" s="3"/>
      <c r="E40" s="15"/>
    </row>
    <row r="41" spans="1:5" ht="14.25" x14ac:dyDescent="0.2">
      <c r="A41" s="162"/>
      <c r="B41" s="113"/>
      <c r="C41" s="3"/>
      <c r="D41" s="3"/>
      <c r="E41" s="15"/>
    </row>
    <row r="42" spans="1:5" ht="14.25" x14ac:dyDescent="0.2">
      <c r="A42" s="162"/>
      <c r="B42" s="113"/>
      <c r="C42" s="3"/>
      <c r="D42" s="3"/>
      <c r="E42" s="15"/>
    </row>
    <row r="43" spans="1:5" x14ac:dyDescent="0.2">
      <c r="A43" s="162"/>
    </row>
  </sheetData>
  <customSheetViews>
    <customSheetView guid="{E26F941C-F347-432D-B4B3-73B25F002075}" hiddenRows="1" hiddenColumns="1" state="hidden" topLeftCell="E1">
      <selection activeCell="L29" sqref="L29"/>
      <pageMargins left="0.17" right="0.16" top="0.17" bottom="1" header="0.17" footer="0.5"/>
      <pageSetup paperSize="9" scale="65" orientation="landscape" r:id="rId1"/>
      <headerFooter alignWithMargins="0"/>
    </customSheetView>
  </customSheetViews>
  <phoneticPr fontId="29" type="noConversion"/>
  <pageMargins left="0.17" right="0.16" top="0.17" bottom="1" header="0.17" footer="0.5"/>
  <pageSetup paperSize="9" scale="65" orientation="landscape" r:id="rId2"/>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5"/>
  <sheetViews>
    <sheetView workbookViewId="0">
      <selection activeCell="A12" sqref="A12"/>
    </sheetView>
  </sheetViews>
  <sheetFormatPr defaultRowHeight="12.75" x14ac:dyDescent="0.2"/>
  <cols>
    <col min="1" max="1" width="27.28515625" customWidth="1"/>
  </cols>
  <sheetData>
    <row r="1" spans="1:1" x14ac:dyDescent="0.2">
      <c r="A1" t="s">
        <v>457</v>
      </c>
    </row>
    <row r="2" spans="1:1" x14ac:dyDescent="0.2">
      <c r="A2" t="s">
        <v>468</v>
      </c>
    </row>
    <row r="3" spans="1:1" x14ac:dyDescent="0.2">
      <c r="A3" t="s">
        <v>469</v>
      </c>
    </row>
    <row r="4" spans="1:1" x14ac:dyDescent="0.2">
      <c r="A4" t="s">
        <v>470</v>
      </c>
    </row>
    <row r="5" spans="1:1" x14ac:dyDescent="0.2">
      <c r="A5" t="s">
        <v>471</v>
      </c>
    </row>
    <row r="6" spans="1:1" x14ac:dyDescent="0.2">
      <c r="A6" t="s">
        <v>472</v>
      </c>
    </row>
    <row r="7" spans="1:1" x14ac:dyDescent="0.2">
      <c r="A7" t="s">
        <v>307</v>
      </c>
    </row>
    <row r="21" spans="1:1" x14ac:dyDescent="0.2">
      <c r="A21" t="s">
        <v>457</v>
      </c>
    </row>
    <row r="22" spans="1:1" x14ac:dyDescent="0.2">
      <c r="A22" t="s">
        <v>468</v>
      </c>
    </row>
    <row r="23" spans="1:1" x14ac:dyDescent="0.2">
      <c r="A23" t="s">
        <v>469</v>
      </c>
    </row>
    <row r="24" spans="1:1" x14ac:dyDescent="0.2">
      <c r="A24" t="s">
        <v>472</v>
      </c>
    </row>
    <row r="25" spans="1:1" x14ac:dyDescent="0.2">
      <c r="A25" t="s">
        <v>307</v>
      </c>
    </row>
    <row r="28" spans="1:1" x14ac:dyDescent="0.2">
      <c r="A28" t="s">
        <v>457</v>
      </c>
    </row>
    <row r="29" spans="1:1" x14ac:dyDescent="0.2">
      <c r="A29" t="s">
        <v>303</v>
      </c>
    </row>
    <row r="30" spans="1:1" x14ac:dyDescent="0.2">
      <c r="A30" t="s">
        <v>304</v>
      </c>
    </row>
    <row r="31" spans="1:1" x14ac:dyDescent="0.2">
      <c r="A31" t="s">
        <v>308</v>
      </c>
    </row>
    <row r="32" spans="1:1" x14ac:dyDescent="0.2">
      <c r="A32" t="s">
        <v>309</v>
      </c>
    </row>
    <row r="33" spans="1:1" x14ac:dyDescent="0.2">
      <c r="A33" t="s">
        <v>541</v>
      </c>
    </row>
    <row r="34" spans="1:1" x14ac:dyDescent="0.2">
      <c r="A34" t="s">
        <v>310</v>
      </c>
    </row>
    <row r="35" spans="1:1" x14ac:dyDescent="0.2">
      <c r="A35" t="s">
        <v>311</v>
      </c>
    </row>
    <row r="39" spans="1:1" x14ac:dyDescent="0.2">
      <c r="A39" t="s">
        <v>457</v>
      </c>
    </row>
    <row r="40" spans="1:1" x14ac:dyDescent="0.2">
      <c r="A40" t="s">
        <v>301</v>
      </c>
    </row>
    <row r="41" spans="1:1" x14ac:dyDescent="0.2">
      <c r="A41" t="s">
        <v>302</v>
      </c>
    </row>
    <row r="42" spans="1:1" x14ac:dyDescent="0.2">
      <c r="A42" t="s">
        <v>471</v>
      </c>
    </row>
    <row r="43" spans="1:1" x14ac:dyDescent="0.2">
      <c r="A43" t="s">
        <v>472</v>
      </c>
    </row>
    <row r="44" spans="1:1" x14ac:dyDescent="0.2">
      <c r="A44" t="s">
        <v>312</v>
      </c>
    </row>
    <row r="48" spans="1:1" x14ac:dyDescent="0.2">
      <c r="A48" t="s">
        <v>457</v>
      </c>
    </row>
    <row r="49" spans="1:1" x14ac:dyDescent="0.2">
      <c r="A49" t="s">
        <v>55</v>
      </c>
    </row>
    <row r="50" spans="1:1" x14ac:dyDescent="0.2">
      <c r="A50" t="s">
        <v>313</v>
      </c>
    </row>
    <row r="51" spans="1:1" x14ac:dyDescent="0.2">
      <c r="A51" t="s">
        <v>314</v>
      </c>
    </row>
    <row r="52" spans="1:1" x14ac:dyDescent="0.2">
      <c r="A52" t="s">
        <v>94</v>
      </c>
    </row>
    <row r="53" spans="1:1" x14ac:dyDescent="0.2">
      <c r="A53" t="s">
        <v>95</v>
      </c>
    </row>
    <row r="54" spans="1:1" x14ac:dyDescent="0.2">
      <c r="A54" t="s">
        <v>96</v>
      </c>
    </row>
    <row r="55" spans="1:1" x14ac:dyDescent="0.2">
      <c r="A55" t="s">
        <v>315</v>
      </c>
    </row>
    <row r="58" spans="1:1" x14ac:dyDescent="0.2">
      <c r="A58" t="s">
        <v>457</v>
      </c>
    </row>
    <row r="59" spans="1:1" x14ac:dyDescent="0.2">
      <c r="A59" t="s">
        <v>474</v>
      </c>
    </row>
    <row r="60" spans="1:1" x14ac:dyDescent="0.2">
      <c r="A60" t="s">
        <v>475</v>
      </c>
    </row>
    <row r="61" spans="1:1" x14ac:dyDescent="0.2">
      <c r="A61" t="s">
        <v>476</v>
      </c>
    </row>
    <row r="62" spans="1:1" x14ac:dyDescent="0.2">
      <c r="A62" t="s">
        <v>305</v>
      </c>
    </row>
    <row r="63" spans="1:1" x14ac:dyDescent="0.2">
      <c r="A63" t="s">
        <v>477</v>
      </c>
    </row>
    <row r="64" spans="1:1" x14ac:dyDescent="0.2">
      <c r="A64" t="s">
        <v>478</v>
      </c>
    </row>
    <row r="65" spans="1:1" x14ac:dyDescent="0.2">
      <c r="A65" t="s">
        <v>306</v>
      </c>
    </row>
  </sheetData>
  <phoneticPr fontId="0" type="noConversion"/>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pageSetUpPr fitToPage="1"/>
  </sheetPr>
  <dimension ref="A1:Q62"/>
  <sheetViews>
    <sheetView showGridLines="0" view="pageBreakPreview" topLeftCell="A29" zoomScale="70" zoomScaleNormal="65" zoomScaleSheetLayoutView="70" workbookViewId="0">
      <selection activeCell="G56" sqref="G56"/>
    </sheetView>
  </sheetViews>
  <sheetFormatPr defaultRowHeight="12.75" outlineLevelRow="1" x14ac:dyDescent="0.2"/>
  <cols>
    <col min="1" max="1" width="29.42578125" style="72" customWidth="1"/>
    <col min="2" max="2" width="23.140625" style="72" customWidth="1"/>
    <col min="3" max="3" width="25.7109375" style="72" customWidth="1"/>
    <col min="4" max="4" width="16.42578125" style="72" customWidth="1"/>
    <col min="5" max="5" width="15" style="72" customWidth="1"/>
    <col min="6" max="6" width="16.85546875" style="72" customWidth="1"/>
    <col min="7" max="7" width="34.140625" style="72" customWidth="1"/>
    <col min="8" max="10" width="9.140625" style="72"/>
    <col min="11" max="11" width="21.42578125" style="72" customWidth="1"/>
    <col min="12" max="16384" width="9.140625" style="72"/>
  </cols>
  <sheetData>
    <row r="1" spans="1:17" s="63" customFormat="1" ht="25.5" customHeight="1" x14ac:dyDescent="0.2">
      <c r="A1" s="1741" t="s">
        <v>410</v>
      </c>
      <c r="B1" s="1741"/>
      <c r="C1" s="1741"/>
      <c r="D1" s="1741"/>
      <c r="E1" s="1741"/>
      <c r="F1" s="1741"/>
      <c r="G1" s="1741"/>
      <c r="H1" s="491"/>
      <c r="I1" s="35"/>
      <c r="J1" s="35"/>
      <c r="K1" s="12"/>
      <c r="L1" s="12"/>
      <c r="M1" s="14"/>
      <c r="N1" s="14"/>
    </row>
    <row r="2" spans="1:17" s="63" customFormat="1" ht="27" customHeight="1" thickBot="1" x14ac:dyDescent="0.3">
      <c r="A2" s="98" t="s">
        <v>504</v>
      </c>
      <c r="B2" s="98"/>
      <c r="C2" s="10"/>
      <c r="D2" s="10"/>
      <c r="E2" s="36"/>
      <c r="F2" s="10"/>
      <c r="G2" s="10"/>
      <c r="H2" s="10"/>
      <c r="I2" s="10"/>
      <c r="J2" s="12"/>
      <c r="K2" s="12"/>
      <c r="L2" s="12"/>
      <c r="M2" s="14"/>
    </row>
    <row r="3" spans="1:17" s="73" customFormat="1" ht="18" customHeight="1" thickBot="1" x14ac:dyDescent="0.25">
      <c r="A3" s="1742" t="s">
        <v>419</v>
      </c>
      <c r="B3" s="1801"/>
      <c r="C3" s="1743"/>
      <c r="D3" s="1803" t="str">
        <f>IF('PR_Programmatic Progress_1A'!C7="","",'PR_Programmatic Progress_1A'!C7)</f>
        <v>BTN-607-G03-H</v>
      </c>
      <c r="E3" s="1804"/>
      <c r="F3" s="1804"/>
      <c r="G3" s="1805"/>
      <c r="H3" s="4"/>
      <c r="I3" s="4"/>
      <c r="J3" s="4"/>
      <c r="K3" s="4"/>
      <c r="L3" s="4"/>
    </row>
    <row r="4" spans="1:17" s="73" customFormat="1" ht="15" customHeight="1" x14ac:dyDescent="0.2">
      <c r="A4" s="492" t="s">
        <v>621</v>
      </c>
      <c r="B4" s="512"/>
      <c r="C4" s="512"/>
      <c r="D4" s="53" t="s">
        <v>627</v>
      </c>
      <c r="E4" s="504" t="str">
        <f>IF('PR_Programmatic Progress_1A'!D12="Select","",'PR_Programmatic Progress_1A'!D12)</f>
        <v>Quarter</v>
      </c>
      <c r="F4" s="5" t="s">
        <v>628</v>
      </c>
      <c r="G4" s="47">
        <f>IF('PR_Programmatic Progress_1A'!F12="Select","",'PR_Programmatic Progress_1A'!F12)</f>
        <v>17</v>
      </c>
      <c r="H4" s="4"/>
      <c r="I4" s="4"/>
      <c r="J4" s="4"/>
      <c r="K4" s="4"/>
      <c r="L4" s="4"/>
    </row>
    <row r="5" spans="1:17" s="73" customFormat="1" ht="15" customHeight="1" x14ac:dyDescent="0.2">
      <c r="A5" s="513" t="s">
        <v>622</v>
      </c>
      <c r="B5" s="40"/>
      <c r="C5" s="40"/>
      <c r="D5" s="54" t="s">
        <v>590</v>
      </c>
      <c r="E5" s="519">
        <f>IF('PR_Programmatic Progress_1A'!D13="","",'PR_Programmatic Progress_1A'!D13)</f>
        <v>40940</v>
      </c>
      <c r="F5" s="5" t="s">
        <v>608</v>
      </c>
      <c r="G5" s="520">
        <f>IF('PR_Programmatic Progress_1A'!F13="","",'PR_Programmatic Progress_1A'!F13)</f>
        <v>41029</v>
      </c>
      <c r="H5" s="4"/>
      <c r="I5" s="4"/>
      <c r="J5" s="4"/>
      <c r="K5" s="4"/>
      <c r="L5" s="4"/>
    </row>
    <row r="6" spans="1:17" s="73" customFormat="1" ht="15" customHeight="1" thickBot="1" x14ac:dyDescent="0.25">
      <c r="A6" s="55" t="s">
        <v>623</v>
      </c>
      <c r="B6" s="167"/>
      <c r="C6" s="41"/>
      <c r="D6" s="1816">
        <f>IF('PR_Programmatic Progress_1A'!C14="Select","",'PR_Programmatic Progress_1A'!C14)</f>
        <v>17</v>
      </c>
      <c r="E6" s="1817"/>
      <c r="F6" s="1817"/>
      <c r="G6" s="1818"/>
      <c r="H6" s="4"/>
      <c r="I6" s="4"/>
      <c r="J6" s="4"/>
      <c r="K6" s="4"/>
      <c r="L6" s="4"/>
    </row>
    <row r="7" spans="1:17" x14ac:dyDescent="0.2">
      <c r="A7" s="534"/>
      <c r="B7" s="3"/>
      <c r="C7" s="3"/>
      <c r="D7" s="3"/>
      <c r="E7" s="3"/>
      <c r="F7" s="3"/>
      <c r="G7" s="3"/>
      <c r="H7" s="3"/>
      <c r="I7" s="3"/>
      <c r="J7" s="3"/>
      <c r="K7" s="3"/>
      <c r="L7" s="3"/>
    </row>
    <row r="8" spans="1:17" s="67" customFormat="1" ht="23.25" x14ac:dyDescent="0.2">
      <c r="A8" s="171" t="s">
        <v>573</v>
      </c>
      <c r="B8" s="171"/>
      <c r="C8" s="171"/>
      <c r="D8" s="171"/>
      <c r="E8" s="171"/>
      <c r="F8" s="171"/>
      <c r="G8" s="171"/>
      <c r="H8" s="171"/>
      <c r="I8" s="171"/>
      <c r="J8" s="171"/>
      <c r="K8" s="171"/>
      <c r="L8" s="171"/>
      <c r="M8" s="751"/>
      <c r="N8" s="751"/>
      <c r="O8" s="751"/>
      <c r="P8" s="751"/>
      <c r="Q8" s="751"/>
    </row>
    <row r="9" spans="1:17" s="67" customFormat="1" ht="23.25" x14ac:dyDescent="0.2">
      <c r="A9" s="171"/>
      <c r="B9" s="171"/>
      <c r="C9" s="171"/>
      <c r="D9" s="171"/>
      <c r="E9" s="171"/>
      <c r="F9" s="171"/>
      <c r="G9" s="171"/>
      <c r="H9" s="171"/>
      <c r="I9" s="171"/>
      <c r="J9" s="171"/>
      <c r="K9" s="171"/>
      <c r="L9" s="171"/>
      <c r="M9" s="751"/>
      <c r="N9" s="751"/>
      <c r="O9" s="751"/>
      <c r="P9" s="751"/>
      <c r="Q9" s="751"/>
    </row>
    <row r="10" spans="1:17" s="74" customFormat="1" ht="24.75" customHeight="1" thickBot="1" x14ac:dyDescent="0.25">
      <c r="A10" s="888" t="s">
        <v>205</v>
      </c>
      <c r="B10" s="889"/>
      <c r="C10" s="889"/>
      <c r="D10" s="889"/>
      <c r="E10" s="889"/>
      <c r="F10" s="889"/>
      <c r="G10" s="889"/>
      <c r="H10" s="889"/>
      <c r="I10" s="889"/>
      <c r="J10" s="889"/>
      <c r="K10" s="889"/>
      <c r="L10" s="889"/>
      <c r="M10" s="91"/>
      <c r="N10" s="91"/>
      <c r="O10" s="91"/>
    </row>
    <row r="11" spans="1:17" s="74" customFormat="1" ht="4.5" customHeight="1" x14ac:dyDescent="0.25">
      <c r="A11" s="1894"/>
      <c r="B11" s="1894"/>
      <c r="C11" s="1894"/>
      <c r="D11" s="1894"/>
      <c r="E11" s="1894"/>
      <c r="F11" s="1894"/>
      <c r="G11" s="1894"/>
      <c r="H11" s="1894"/>
      <c r="I11" s="1894"/>
      <c r="J11" s="1894"/>
      <c r="K11" s="1894"/>
      <c r="L11" s="1894"/>
    </row>
    <row r="12" spans="1:17" s="74" customFormat="1" ht="68.25" customHeight="1" thickBot="1" x14ac:dyDescent="0.25">
      <c r="A12" s="1902" t="s">
        <v>336</v>
      </c>
      <c r="B12" s="1837"/>
      <c r="C12" s="1837"/>
      <c r="D12" s="1837"/>
      <c r="E12" s="1837"/>
      <c r="F12" s="1837"/>
      <c r="G12" s="1837"/>
      <c r="H12" s="1837"/>
      <c r="I12" s="1837"/>
      <c r="J12" s="1837"/>
      <c r="K12" s="1837"/>
      <c r="L12" s="1837"/>
    </row>
    <row r="13" spans="1:17" s="63" customFormat="1" ht="53.25" customHeight="1" x14ac:dyDescent="0.2">
      <c r="A13" s="1898" t="s">
        <v>535</v>
      </c>
      <c r="B13" s="1899"/>
      <c r="C13" s="1899"/>
      <c r="D13" s="1900"/>
      <c r="E13" s="1901"/>
      <c r="F13" s="1069" t="s">
        <v>354</v>
      </c>
      <c r="G13" s="1895" t="s">
        <v>128</v>
      </c>
      <c r="H13" s="1896"/>
      <c r="I13" s="1896"/>
      <c r="J13" s="1896"/>
      <c r="K13" s="1896"/>
      <c r="L13" s="1897"/>
    </row>
    <row r="14" spans="1:17" ht="33.75" customHeight="1" x14ac:dyDescent="0.2">
      <c r="A14" s="1872" t="s">
        <v>684</v>
      </c>
      <c r="B14" s="1873"/>
      <c r="C14" s="1873"/>
      <c r="D14" s="1873"/>
      <c r="E14" s="1874"/>
      <c r="F14" s="715" t="s">
        <v>365</v>
      </c>
      <c r="G14" s="1869" t="s">
        <v>685</v>
      </c>
      <c r="H14" s="1870"/>
      <c r="I14" s="1870"/>
      <c r="J14" s="1870"/>
      <c r="K14" s="1870"/>
      <c r="L14" s="1871"/>
    </row>
    <row r="15" spans="1:17" ht="48" customHeight="1" x14ac:dyDescent="0.2">
      <c r="A15" s="1872" t="s">
        <v>686</v>
      </c>
      <c r="B15" s="1873"/>
      <c r="C15" s="1873"/>
      <c r="D15" s="1873"/>
      <c r="E15" s="1874"/>
      <c r="F15" s="715" t="s">
        <v>365</v>
      </c>
      <c r="G15" s="1869" t="s">
        <v>687</v>
      </c>
      <c r="H15" s="1870"/>
      <c r="I15" s="1870"/>
      <c r="J15" s="1870"/>
      <c r="K15" s="1870"/>
      <c r="L15" s="1871"/>
    </row>
    <row r="16" spans="1:17" ht="45.75" customHeight="1" x14ac:dyDescent="0.2">
      <c r="A16" s="1872" t="s">
        <v>688</v>
      </c>
      <c r="B16" s="1873"/>
      <c r="C16" s="1873"/>
      <c r="D16" s="1873"/>
      <c r="E16" s="1874"/>
      <c r="F16" s="715" t="s">
        <v>689</v>
      </c>
      <c r="G16" s="1869" t="s">
        <v>709</v>
      </c>
      <c r="H16" s="1870"/>
      <c r="I16" s="1870"/>
      <c r="J16" s="1870"/>
      <c r="K16" s="1870"/>
      <c r="L16" s="1871"/>
    </row>
    <row r="17" spans="1:12" ht="63.75" customHeight="1" x14ac:dyDescent="0.2">
      <c r="A17" s="1872" t="s">
        <v>690</v>
      </c>
      <c r="B17" s="1873"/>
      <c r="C17" s="1873"/>
      <c r="D17" s="1873"/>
      <c r="E17" s="1874"/>
      <c r="F17" s="715" t="s">
        <v>365</v>
      </c>
      <c r="G17" s="1869" t="s">
        <v>691</v>
      </c>
      <c r="H17" s="1870"/>
      <c r="I17" s="1870"/>
      <c r="J17" s="1870"/>
      <c r="K17" s="1870"/>
      <c r="L17" s="1871"/>
    </row>
    <row r="18" spans="1:12" ht="71.25" customHeight="1" x14ac:dyDescent="0.2">
      <c r="A18" s="1872" t="s">
        <v>692</v>
      </c>
      <c r="B18" s="1873"/>
      <c r="C18" s="1873"/>
      <c r="D18" s="1873"/>
      <c r="E18" s="1874"/>
      <c r="F18" s="715" t="s">
        <v>365</v>
      </c>
      <c r="G18" s="1869" t="s">
        <v>693</v>
      </c>
      <c r="H18" s="1870"/>
      <c r="I18" s="1870"/>
      <c r="J18" s="1870"/>
      <c r="K18" s="1870"/>
      <c r="L18" s="1871"/>
    </row>
    <row r="19" spans="1:12" ht="51.75" customHeight="1" x14ac:dyDescent="0.2">
      <c r="A19" s="1872" t="s">
        <v>694</v>
      </c>
      <c r="B19" s="1873"/>
      <c r="C19" s="1873"/>
      <c r="D19" s="1873"/>
      <c r="E19" s="1874"/>
      <c r="F19" s="715" t="s">
        <v>365</v>
      </c>
      <c r="G19" s="1869" t="s">
        <v>695</v>
      </c>
      <c r="H19" s="1870"/>
      <c r="I19" s="1870"/>
      <c r="J19" s="1870"/>
      <c r="K19" s="1870"/>
      <c r="L19" s="1871"/>
    </row>
    <row r="20" spans="1:12" ht="55.5" customHeight="1" x14ac:dyDescent="0.2">
      <c r="A20" s="1872" t="s">
        <v>696</v>
      </c>
      <c r="B20" s="1873"/>
      <c r="C20" s="1873"/>
      <c r="D20" s="1873"/>
      <c r="E20" s="1874"/>
      <c r="F20" s="715" t="s">
        <v>365</v>
      </c>
      <c r="G20" s="1869" t="s">
        <v>697</v>
      </c>
      <c r="H20" s="1870"/>
      <c r="I20" s="1870"/>
      <c r="J20" s="1870"/>
      <c r="K20" s="1870"/>
      <c r="L20" s="1871"/>
    </row>
    <row r="21" spans="1:12" ht="56.25" customHeight="1" x14ac:dyDescent="0.2">
      <c r="A21" s="1872" t="s">
        <v>698</v>
      </c>
      <c r="B21" s="1873"/>
      <c r="C21" s="1873"/>
      <c r="D21" s="1873"/>
      <c r="E21" s="1874"/>
      <c r="F21" s="715" t="s">
        <v>365</v>
      </c>
      <c r="G21" s="1869" t="s">
        <v>699</v>
      </c>
      <c r="H21" s="1870"/>
      <c r="I21" s="1870"/>
      <c r="J21" s="1870"/>
      <c r="K21" s="1870"/>
      <c r="L21" s="1871"/>
    </row>
    <row r="22" spans="1:12" ht="33.75" hidden="1" customHeight="1" outlineLevel="1" x14ac:dyDescent="0.2">
      <c r="A22" s="1872" t="s">
        <v>700</v>
      </c>
      <c r="B22" s="1873"/>
      <c r="C22" s="1873"/>
      <c r="D22" s="1873"/>
      <c r="E22" s="1874"/>
      <c r="F22" s="715" t="s">
        <v>365</v>
      </c>
      <c r="G22" s="1891" t="s">
        <v>701</v>
      </c>
      <c r="H22" s="1892"/>
      <c r="I22" s="1892"/>
      <c r="J22" s="1892"/>
      <c r="K22" s="1892"/>
      <c r="L22" s="1893"/>
    </row>
    <row r="23" spans="1:12" ht="33.75" hidden="1" customHeight="1" outlineLevel="1" x14ac:dyDescent="0.2">
      <c r="A23" s="1872" t="s">
        <v>702</v>
      </c>
      <c r="B23" s="1873"/>
      <c r="C23" s="1873"/>
      <c r="D23" s="1873"/>
      <c r="E23" s="1874"/>
      <c r="F23" s="715" t="s">
        <v>365</v>
      </c>
      <c r="G23" s="1869" t="s">
        <v>703</v>
      </c>
      <c r="H23" s="1870"/>
      <c r="I23" s="1870"/>
      <c r="J23" s="1870"/>
      <c r="K23" s="1870"/>
      <c r="L23" s="1871"/>
    </row>
    <row r="24" spans="1:12" ht="33.75" hidden="1" customHeight="1" outlineLevel="1" x14ac:dyDescent="0.2">
      <c r="A24" s="1872" t="s">
        <v>704</v>
      </c>
      <c r="B24" s="1873"/>
      <c r="C24" s="1873"/>
      <c r="D24" s="1873"/>
      <c r="E24" s="1874"/>
      <c r="F24" s="715" t="s">
        <v>365</v>
      </c>
      <c r="G24" s="1869" t="s">
        <v>705</v>
      </c>
      <c r="H24" s="1870"/>
      <c r="I24" s="1870"/>
      <c r="J24" s="1870"/>
      <c r="K24" s="1870"/>
      <c r="L24" s="1871"/>
    </row>
    <row r="25" spans="1:12" s="1139" customFormat="1" ht="65.25" customHeight="1" collapsed="1" x14ac:dyDescent="0.2">
      <c r="A25" s="1872" t="s">
        <v>706</v>
      </c>
      <c r="B25" s="1873"/>
      <c r="C25" s="1873"/>
      <c r="D25" s="1873"/>
      <c r="E25" s="1874"/>
      <c r="F25" s="715" t="s">
        <v>707</v>
      </c>
      <c r="G25" s="1869" t="s">
        <v>708</v>
      </c>
      <c r="H25" s="1870"/>
      <c r="I25" s="1870"/>
      <c r="J25" s="1870"/>
      <c r="K25" s="1870"/>
      <c r="L25" s="1871"/>
    </row>
    <row r="26" spans="1:12" ht="33.75" hidden="1" customHeight="1" outlineLevel="1" x14ac:dyDescent="0.2">
      <c r="A26" s="1853"/>
      <c r="B26" s="1866"/>
      <c r="C26" s="1866"/>
      <c r="D26" s="1867"/>
      <c r="E26" s="1868"/>
      <c r="F26" s="715" t="s">
        <v>607</v>
      </c>
      <c r="G26" s="1849"/>
      <c r="H26" s="1847"/>
      <c r="I26" s="1847"/>
      <c r="J26" s="1847"/>
      <c r="K26" s="1847"/>
      <c r="L26" s="1852"/>
    </row>
    <row r="27" spans="1:12" ht="33.75" hidden="1" customHeight="1" outlineLevel="1" x14ac:dyDescent="0.2">
      <c r="A27" s="1853"/>
      <c r="B27" s="1866"/>
      <c r="C27" s="1866"/>
      <c r="D27" s="1867"/>
      <c r="E27" s="1868"/>
      <c r="F27" s="715" t="s">
        <v>607</v>
      </c>
      <c r="G27" s="1849"/>
      <c r="H27" s="1847"/>
      <c r="I27" s="1847"/>
      <c r="J27" s="1847"/>
      <c r="K27" s="1847"/>
      <c r="L27" s="1852"/>
    </row>
    <row r="28" spans="1:12" ht="33.75" hidden="1" customHeight="1" outlineLevel="1" thickBot="1" x14ac:dyDescent="0.25">
      <c r="A28" s="1884"/>
      <c r="B28" s="1885"/>
      <c r="C28" s="1885"/>
      <c r="D28" s="1886"/>
      <c r="E28" s="1887"/>
      <c r="F28" s="716" t="s">
        <v>607</v>
      </c>
      <c r="G28" s="1888"/>
      <c r="H28" s="1889"/>
      <c r="I28" s="1889"/>
      <c r="J28" s="1889"/>
      <c r="K28" s="1889"/>
      <c r="L28" s="1890"/>
    </row>
    <row r="29" spans="1:12" s="359" customFormat="1" ht="25.5" customHeight="1" collapsed="1" x14ac:dyDescent="0.2">
      <c r="A29" s="178"/>
      <c r="B29" s="178"/>
      <c r="C29" s="178"/>
      <c r="D29" s="178"/>
      <c r="E29" s="178"/>
      <c r="F29" s="178"/>
      <c r="G29" s="178"/>
      <c r="H29" s="178"/>
      <c r="I29" s="178"/>
      <c r="J29" s="178"/>
      <c r="K29" s="178"/>
      <c r="L29" s="178"/>
    </row>
    <row r="30" spans="1:12" ht="25.5" customHeight="1" x14ac:dyDescent="0.2">
      <c r="A30" s="1838" t="s">
        <v>206</v>
      </c>
      <c r="B30" s="1839"/>
      <c r="C30" s="1839"/>
      <c r="D30" s="1839"/>
      <c r="E30" s="1839"/>
      <c r="F30" s="1839"/>
      <c r="G30" s="1839"/>
      <c r="H30" s="1839"/>
      <c r="I30" s="1839"/>
      <c r="J30" s="1839"/>
      <c r="K30" s="1839"/>
      <c r="L30" s="1839"/>
    </row>
    <row r="31" spans="1:12" ht="37.5" customHeight="1" x14ac:dyDescent="0.2">
      <c r="A31" s="1836" t="s">
        <v>5</v>
      </c>
      <c r="B31" s="1837"/>
      <c r="C31" s="1837"/>
      <c r="D31" s="1837"/>
      <c r="E31" s="1837"/>
      <c r="F31" s="1837"/>
      <c r="G31" s="1837"/>
      <c r="H31" s="1837"/>
      <c r="I31" s="1837"/>
      <c r="J31" s="1837"/>
      <c r="K31" s="1837"/>
      <c r="L31" s="1837"/>
    </row>
    <row r="32" spans="1:12" ht="5.25" customHeight="1" thickBot="1" x14ac:dyDescent="0.3">
      <c r="A32" s="1397"/>
      <c r="B32" s="1398"/>
      <c r="C32" s="1398"/>
      <c r="D32" s="1398"/>
      <c r="E32" s="1398"/>
      <c r="F32" s="1398"/>
      <c r="G32" s="1398"/>
      <c r="H32" s="1398"/>
      <c r="I32" s="1398"/>
      <c r="J32" s="1398"/>
      <c r="K32" s="1398"/>
      <c r="L32" s="1398"/>
    </row>
    <row r="33" spans="1:12" ht="40.5" customHeight="1" x14ac:dyDescent="0.2">
      <c r="A33" s="1840" t="s">
        <v>127</v>
      </c>
      <c r="B33" s="1841"/>
      <c r="C33" s="1841"/>
      <c r="D33" s="1842"/>
      <c r="E33" s="1882" t="s">
        <v>128</v>
      </c>
      <c r="F33" s="1841"/>
      <c r="G33" s="1841"/>
      <c r="H33" s="1841"/>
      <c r="I33" s="1841"/>
      <c r="J33" s="1841"/>
      <c r="K33" s="1841"/>
      <c r="L33" s="1883"/>
    </row>
    <row r="34" spans="1:12" ht="90.75" customHeight="1" x14ac:dyDescent="0.2">
      <c r="A34" s="1853" t="s">
        <v>732</v>
      </c>
      <c r="B34" s="1847"/>
      <c r="C34" s="1847"/>
      <c r="D34" s="1848"/>
      <c r="E34" s="1849" t="s">
        <v>741</v>
      </c>
      <c r="F34" s="1850"/>
      <c r="G34" s="1850"/>
      <c r="H34" s="1850"/>
      <c r="I34" s="1850"/>
      <c r="J34" s="1850"/>
      <c r="K34" s="1850"/>
      <c r="L34" s="1851"/>
    </row>
    <row r="35" spans="1:12" ht="105" customHeight="1" x14ac:dyDescent="0.2">
      <c r="A35" s="1853" t="s">
        <v>733</v>
      </c>
      <c r="B35" s="1847"/>
      <c r="C35" s="1847"/>
      <c r="D35" s="1848"/>
      <c r="E35" s="1849" t="s">
        <v>742</v>
      </c>
      <c r="F35" s="1850"/>
      <c r="G35" s="1850"/>
      <c r="H35" s="1850"/>
      <c r="I35" s="1850"/>
      <c r="J35" s="1850"/>
      <c r="K35" s="1850"/>
      <c r="L35" s="1851"/>
    </row>
    <row r="36" spans="1:12" ht="143.25" customHeight="1" x14ac:dyDescent="0.2">
      <c r="A36" s="1853" t="s">
        <v>734</v>
      </c>
      <c r="B36" s="1847"/>
      <c r="C36" s="1847"/>
      <c r="D36" s="1848"/>
      <c r="E36" s="1849" t="s">
        <v>746</v>
      </c>
      <c r="F36" s="1850"/>
      <c r="G36" s="1850"/>
      <c r="H36" s="1850"/>
      <c r="I36" s="1850"/>
      <c r="J36" s="1850"/>
      <c r="K36" s="1850"/>
      <c r="L36" s="1851"/>
    </row>
    <row r="37" spans="1:12" ht="111" customHeight="1" x14ac:dyDescent="0.2">
      <c r="A37" s="1853" t="s">
        <v>740</v>
      </c>
      <c r="B37" s="1847"/>
      <c r="C37" s="1847"/>
      <c r="D37" s="1848"/>
      <c r="E37" s="1849" t="s">
        <v>743</v>
      </c>
      <c r="F37" s="1850"/>
      <c r="G37" s="1850" t="s">
        <v>731</v>
      </c>
      <c r="H37" s="1850"/>
      <c r="I37" s="1850" t="s">
        <v>731</v>
      </c>
      <c r="J37" s="1850"/>
      <c r="K37" s="1850" t="s">
        <v>731</v>
      </c>
      <c r="L37" s="1851"/>
    </row>
    <row r="38" spans="1:12" ht="63.75" customHeight="1" x14ac:dyDescent="0.2">
      <c r="A38" s="1853" t="s">
        <v>735</v>
      </c>
      <c r="B38" s="1847"/>
      <c r="C38" s="1847"/>
      <c r="D38" s="1848"/>
      <c r="E38" s="1849" t="s">
        <v>750</v>
      </c>
      <c r="F38" s="1847"/>
      <c r="G38" s="1847"/>
      <c r="H38" s="1847"/>
      <c r="I38" s="1847"/>
      <c r="J38" s="1847"/>
      <c r="K38" s="1847"/>
      <c r="L38" s="1852"/>
    </row>
    <row r="39" spans="1:12" ht="102" customHeight="1" x14ac:dyDescent="0.2">
      <c r="A39" s="1853" t="s">
        <v>736</v>
      </c>
      <c r="B39" s="1847"/>
      <c r="C39" s="1847"/>
      <c r="D39" s="1848"/>
      <c r="E39" s="1849" t="s">
        <v>744</v>
      </c>
      <c r="F39" s="1847"/>
      <c r="G39" s="1847"/>
      <c r="H39" s="1847"/>
      <c r="I39" s="1847"/>
      <c r="J39" s="1847"/>
      <c r="K39" s="1847"/>
      <c r="L39" s="1852"/>
    </row>
    <row r="40" spans="1:12" ht="90" customHeight="1" x14ac:dyDescent="0.2">
      <c r="A40" s="1853" t="s">
        <v>737</v>
      </c>
      <c r="B40" s="1847"/>
      <c r="C40" s="1847"/>
      <c r="D40" s="1848"/>
      <c r="E40" s="1849" t="s">
        <v>747</v>
      </c>
      <c r="F40" s="1847"/>
      <c r="G40" s="1847"/>
      <c r="H40" s="1847"/>
      <c r="I40" s="1847"/>
      <c r="J40" s="1847"/>
      <c r="K40" s="1847"/>
      <c r="L40" s="1852"/>
    </row>
    <row r="41" spans="1:12" ht="106.5" customHeight="1" x14ac:dyDescent="0.2">
      <c r="A41" s="1853" t="s">
        <v>738</v>
      </c>
      <c r="B41" s="1847"/>
      <c r="C41" s="1847"/>
      <c r="D41" s="1848"/>
      <c r="E41" s="1849" t="s">
        <v>749</v>
      </c>
      <c r="F41" s="1847"/>
      <c r="G41" s="1847"/>
      <c r="H41" s="1847"/>
      <c r="I41" s="1847"/>
      <c r="J41" s="1847"/>
      <c r="K41" s="1847"/>
      <c r="L41" s="1852"/>
    </row>
    <row r="42" spans="1:12" ht="35.25" hidden="1" customHeight="1" outlineLevel="1" x14ac:dyDescent="0.2">
      <c r="A42" s="1846"/>
      <c r="B42" s="1847"/>
      <c r="C42" s="1847"/>
      <c r="D42" s="1848"/>
      <c r="E42" s="1843"/>
      <c r="F42" s="1844"/>
      <c r="G42" s="1844"/>
      <c r="H42" s="1844"/>
      <c r="I42" s="1844"/>
      <c r="J42" s="1844"/>
      <c r="K42" s="1844"/>
      <c r="L42" s="1845"/>
    </row>
    <row r="43" spans="1:12" ht="35.25" hidden="1" customHeight="1" outlineLevel="1" x14ac:dyDescent="0.2">
      <c r="A43" s="1846"/>
      <c r="B43" s="1847"/>
      <c r="C43" s="1847"/>
      <c r="D43" s="1848"/>
      <c r="E43" s="1843"/>
      <c r="F43" s="1844"/>
      <c r="G43" s="1844"/>
      <c r="H43" s="1844"/>
      <c r="I43" s="1844"/>
      <c r="J43" s="1844"/>
      <c r="K43" s="1844"/>
      <c r="L43" s="1845"/>
    </row>
    <row r="44" spans="1:12" ht="66" customHeight="1" outlineLevel="1" x14ac:dyDescent="0.2">
      <c r="A44" s="1853" t="s">
        <v>739</v>
      </c>
      <c r="B44" s="1847"/>
      <c r="C44" s="1847"/>
      <c r="D44" s="1848"/>
      <c r="E44" s="1849" t="s">
        <v>748</v>
      </c>
      <c r="F44" s="1847"/>
      <c r="G44" s="1847"/>
      <c r="H44" s="1847"/>
      <c r="I44" s="1847"/>
      <c r="J44" s="1847"/>
      <c r="K44" s="1847"/>
      <c r="L44" s="1852"/>
    </row>
    <row r="45" spans="1:12" s="1139" customFormat="1" ht="12.75" customHeight="1" x14ac:dyDescent="0.2">
      <c r="A45" s="1133"/>
      <c r="B45" s="1134"/>
      <c r="C45" s="1134"/>
      <c r="D45" s="1135"/>
      <c r="E45" s="1136"/>
      <c r="F45" s="1137"/>
      <c r="G45" s="1137"/>
      <c r="H45" s="1137"/>
      <c r="I45" s="1137"/>
      <c r="J45" s="1137"/>
      <c r="K45" s="1137"/>
      <c r="L45" s="1138"/>
    </row>
    <row r="46" spans="1:12" ht="35.25" hidden="1" customHeight="1" outlineLevel="1" x14ac:dyDescent="0.2">
      <c r="A46" s="1846"/>
      <c r="B46" s="1847"/>
      <c r="C46" s="1847"/>
      <c r="D46" s="1848"/>
      <c r="E46" s="1843"/>
      <c r="F46" s="1844"/>
      <c r="G46" s="1844"/>
      <c r="H46" s="1844"/>
      <c r="I46" s="1844"/>
      <c r="J46" s="1844"/>
      <c r="K46" s="1844"/>
      <c r="L46" s="1845"/>
    </row>
    <row r="47" spans="1:12" ht="35.25" hidden="1" customHeight="1" outlineLevel="1" x14ac:dyDescent="0.2">
      <c r="A47" s="1846"/>
      <c r="B47" s="1847"/>
      <c r="C47" s="1847"/>
      <c r="D47" s="1848"/>
      <c r="E47" s="1843"/>
      <c r="F47" s="1844"/>
      <c r="G47" s="1844"/>
      <c r="H47" s="1844"/>
      <c r="I47" s="1844"/>
      <c r="J47" s="1844"/>
      <c r="K47" s="1844"/>
      <c r="L47" s="1845"/>
    </row>
    <row r="48" spans="1:12" ht="35.25" hidden="1" customHeight="1" outlineLevel="1" x14ac:dyDescent="0.2">
      <c r="A48" s="1846"/>
      <c r="B48" s="1847"/>
      <c r="C48" s="1847"/>
      <c r="D48" s="1848"/>
      <c r="E48" s="1843"/>
      <c r="F48" s="1844"/>
      <c r="G48" s="1844"/>
      <c r="H48" s="1844"/>
      <c r="I48" s="1844"/>
      <c r="J48" s="1844"/>
      <c r="K48" s="1844"/>
      <c r="L48" s="1845"/>
    </row>
    <row r="49" spans="1:12" ht="14.25" collapsed="1" x14ac:dyDescent="0.2">
      <c r="A49" s="536"/>
      <c r="B49" s="536"/>
      <c r="C49" s="536"/>
      <c r="D49" s="536"/>
      <c r="E49" s="536"/>
      <c r="F49" s="537"/>
      <c r="G49" s="537"/>
      <c r="H49" s="537"/>
      <c r="I49" s="537"/>
      <c r="J49" s="536"/>
      <c r="K49" s="536"/>
      <c r="L49" s="536"/>
    </row>
    <row r="50" spans="1:12" x14ac:dyDescent="0.2">
      <c r="J50" s="538"/>
    </row>
    <row r="51" spans="1:12" s="91" customFormat="1" ht="25.5" customHeight="1" x14ac:dyDescent="0.2">
      <c r="A51" s="1859" t="s">
        <v>207</v>
      </c>
      <c r="B51" s="1860"/>
      <c r="C51" s="1860"/>
      <c r="D51" s="1860"/>
      <c r="E51" s="1860"/>
      <c r="F51" s="1860"/>
      <c r="G51" s="1860"/>
      <c r="H51" s="1860"/>
      <c r="I51" s="1860"/>
      <c r="J51" s="1860"/>
      <c r="K51" s="1860"/>
      <c r="L51" s="1860"/>
    </row>
    <row r="52" spans="1:12" s="752" customFormat="1" ht="42" customHeight="1" thickBot="1" x14ac:dyDescent="0.25">
      <c r="A52" s="1880" t="s">
        <v>536</v>
      </c>
      <c r="B52" s="1881"/>
      <c r="C52" s="1881"/>
      <c r="D52" s="1881"/>
      <c r="E52" s="1881"/>
      <c r="F52" s="1881"/>
      <c r="G52" s="1881"/>
      <c r="H52" s="1881"/>
      <c r="I52" s="1881"/>
      <c r="J52" s="1881"/>
      <c r="K52" s="1881"/>
      <c r="L52" s="1881"/>
    </row>
    <row r="53" spans="1:12" s="91" customFormat="1" ht="33.75" customHeight="1" x14ac:dyDescent="0.2">
      <c r="A53" s="1878" t="s">
        <v>568</v>
      </c>
      <c r="B53" s="1879"/>
      <c r="C53" s="1879"/>
      <c r="D53" s="1879"/>
      <c r="E53" s="500" t="s">
        <v>388</v>
      </c>
      <c r="F53" s="500" t="s">
        <v>354</v>
      </c>
      <c r="G53" s="1875" t="s">
        <v>569</v>
      </c>
      <c r="H53" s="1876"/>
      <c r="I53" s="1876"/>
      <c r="J53" s="1876"/>
      <c r="K53" s="1876"/>
      <c r="L53" s="1877"/>
    </row>
    <row r="54" spans="1:12" s="91" customFormat="1" ht="59.25" customHeight="1" x14ac:dyDescent="0.2">
      <c r="A54" s="1861" t="s">
        <v>126</v>
      </c>
      <c r="B54" s="1862"/>
      <c r="C54" s="1862"/>
      <c r="D54" s="1862"/>
      <c r="E54" s="539">
        <v>40908</v>
      </c>
      <c r="F54" s="715" t="s">
        <v>710</v>
      </c>
      <c r="G54" s="1863" t="s">
        <v>1175</v>
      </c>
      <c r="H54" s="1864"/>
      <c r="I54" s="1864"/>
      <c r="J54" s="1864"/>
      <c r="K54" s="1864"/>
      <c r="L54" s="1865"/>
    </row>
    <row r="55" spans="1:12" s="91" customFormat="1" ht="48" customHeight="1" thickBot="1" x14ac:dyDescent="0.25">
      <c r="A55" s="1857" t="s">
        <v>567</v>
      </c>
      <c r="B55" s="1858"/>
      <c r="C55" s="1858"/>
      <c r="D55" s="1858"/>
      <c r="E55" s="540">
        <v>40939</v>
      </c>
      <c r="F55" s="716" t="s">
        <v>710</v>
      </c>
      <c r="G55" s="1854" t="s">
        <v>1176</v>
      </c>
      <c r="H55" s="1855"/>
      <c r="I55" s="1855"/>
      <c r="J55" s="1855"/>
      <c r="K55" s="1855"/>
      <c r="L55" s="1856"/>
    </row>
    <row r="56" spans="1:12" x14ac:dyDescent="0.2">
      <c r="A56" s="3"/>
      <c r="B56" s="3"/>
      <c r="C56" s="3"/>
      <c r="D56" s="3"/>
      <c r="E56" s="3"/>
      <c r="F56" s="3"/>
      <c r="G56" s="31"/>
      <c r="H56" s="3"/>
      <c r="I56" s="3"/>
      <c r="J56" s="16"/>
      <c r="K56" s="3"/>
    </row>
    <row r="57" spans="1:12" x14ac:dyDescent="0.2">
      <c r="A57" s="3"/>
      <c r="B57" s="3"/>
      <c r="C57" s="3"/>
      <c r="D57" s="3"/>
      <c r="E57" s="3"/>
      <c r="F57" s="3"/>
      <c r="G57" s="31"/>
      <c r="H57" s="3"/>
      <c r="I57" s="3"/>
      <c r="J57" s="16"/>
      <c r="K57" s="3"/>
      <c r="L57" s="3"/>
    </row>
    <row r="58" spans="1:12" x14ac:dyDescent="0.2">
      <c r="A58" s="3"/>
      <c r="B58" s="3"/>
      <c r="C58" s="3"/>
      <c r="D58" s="3"/>
      <c r="E58" s="3"/>
      <c r="F58" s="3"/>
      <c r="G58" s="31"/>
      <c r="H58" s="3"/>
      <c r="I58" s="3"/>
      <c r="J58" s="16"/>
      <c r="K58" s="3"/>
      <c r="L58" s="3"/>
    </row>
    <row r="59" spans="1:12" x14ac:dyDescent="0.2">
      <c r="J59" s="538"/>
    </row>
    <row r="60" spans="1:12" x14ac:dyDescent="0.2">
      <c r="J60" s="538"/>
    </row>
    <row r="61" spans="1:12" x14ac:dyDescent="0.2">
      <c r="J61" s="538"/>
    </row>
    <row r="62" spans="1:12" x14ac:dyDescent="0.2">
      <c r="J62" s="538"/>
    </row>
  </sheetData>
  <sheetProtection formatCells="0" formatColumns="0" formatRows="0" insertRows="0"/>
  <customSheetViews>
    <customSheetView guid="{E26F941C-F347-432D-B4B3-73B25F002075}" scale="55" showPageBreaks="1" showGridLines="0" fitToPage="1" topLeftCell="A7">
      <selection activeCell="A15" sqref="A15:L18"/>
      <pageMargins left="0.56999999999999995" right="0.45" top="0.59" bottom="0.64" header="0.51181102362204722" footer="0.51181102362204722"/>
      <printOptions horizontalCentered="1"/>
      <pageSetup paperSize="9" scale="41" orientation="landscape" cellComments="asDisplayed" r:id="rId1"/>
      <headerFooter alignWithMargins="0">
        <oddFooter>&amp;L&amp;9SD 3.1A - Form, Ongoing DR/PU and LFA Review and Recommendation_v2.1 February 2006&amp;R&amp;9Page &amp;P of &amp;N</oddFooter>
      </headerFooter>
    </customSheetView>
  </customSheetViews>
  <mergeCells count="78">
    <mergeCell ref="A11:L11"/>
    <mergeCell ref="G13:L13"/>
    <mergeCell ref="A15:E15"/>
    <mergeCell ref="G16:L16"/>
    <mergeCell ref="A1:G1"/>
    <mergeCell ref="A3:C3"/>
    <mergeCell ref="D3:G3"/>
    <mergeCell ref="D6:G6"/>
    <mergeCell ref="A13:E13"/>
    <mergeCell ref="A12:L12"/>
    <mergeCell ref="A17:E17"/>
    <mergeCell ref="A19:E19"/>
    <mergeCell ref="G19:L19"/>
    <mergeCell ref="G14:L14"/>
    <mergeCell ref="G15:L15"/>
    <mergeCell ref="A14:E14"/>
    <mergeCell ref="G18:L18"/>
    <mergeCell ref="A16:E16"/>
    <mergeCell ref="G17:L17"/>
    <mergeCell ref="G26:L26"/>
    <mergeCell ref="A27:E27"/>
    <mergeCell ref="A28:E28"/>
    <mergeCell ref="A20:E20"/>
    <mergeCell ref="A18:E18"/>
    <mergeCell ref="A21:E21"/>
    <mergeCell ref="G27:L27"/>
    <mergeCell ref="G24:L24"/>
    <mergeCell ref="A25:E25"/>
    <mergeCell ref="G20:L20"/>
    <mergeCell ref="G28:L28"/>
    <mergeCell ref="G21:L21"/>
    <mergeCell ref="G22:L22"/>
    <mergeCell ref="G23:L23"/>
    <mergeCell ref="A22:E22"/>
    <mergeCell ref="A23:E23"/>
    <mergeCell ref="A26:E26"/>
    <mergeCell ref="G25:L25"/>
    <mergeCell ref="A24:E24"/>
    <mergeCell ref="G53:L53"/>
    <mergeCell ref="A53:D53"/>
    <mergeCell ref="A52:L52"/>
    <mergeCell ref="E33:L33"/>
    <mergeCell ref="E36:L36"/>
    <mergeCell ref="A36:D36"/>
    <mergeCell ref="A35:D35"/>
    <mergeCell ref="E35:L35"/>
    <mergeCell ref="E34:L34"/>
    <mergeCell ref="A34:D34"/>
    <mergeCell ref="E44:L44"/>
    <mergeCell ref="A47:D47"/>
    <mergeCell ref="E47:L47"/>
    <mergeCell ref="G55:L55"/>
    <mergeCell ref="A55:D55"/>
    <mergeCell ref="A51:L51"/>
    <mergeCell ref="A54:D54"/>
    <mergeCell ref="G54:L54"/>
    <mergeCell ref="E41:L41"/>
    <mergeCell ref="A39:D39"/>
    <mergeCell ref="A40:D40"/>
    <mergeCell ref="E48:L48"/>
    <mergeCell ref="A46:D46"/>
    <mergeCell ref="A48:D48"/>
    <mergeCell ref="A31:L31"/>
    <mergeCell ref="A30:L30"/>
    <mergeCell ref="A33:D33"/>
    <mergeCell ref="E46:L46"/>
    <mergeCell ref="A42:D42"/>
    <mergeCell ref="E37:L37"/>
    <mergeCell ref="E38:L38"/>
    <mergeCell ref="E39:L39"/>
    <mergeCell ref="E42:L42"/>
    <mergeCell ref="A43:D43"/>
    <mergeCell ref="E43:L43"/>
    <mergeCell ref="A44:D44"/>
    <mergeCell ref="A37:D37"/>
    <mergeCell ref="A38:D38"/>
    <mergeCell ref="E40:L40"/>
    <mergeCell ref="A41:D41"/>
  </mergeCells>
  <phoneticPr fontId="0" type="noConversion"/>
  <conditionalFormatting sqref="C51:E51">
    <cfRule type="cellIs" dxfId="133" priority="12" stopIfTrue="1" operator="notEqual">
      <formula>B51</formula>
    </cfRule>
    <cfRule type="cellIs" dxfId="132" priority="13" stopIfTrue="1" operator="notEqual">
      <formula>A51</formula>
    </cfRule>
  </conditionalFormatting>
  <conditionalFormatting sqref="B51 B54:B55">
    <cfRule type="cellIs" dxfId="131" priority="10" stopIfTrue="1" operator="notEqual">
      <formula>A51</formula>
    </cfRule>
    <cfRule type="cellIs" dxfId="130" priority="11" stopIfTrue="1" operator="notEqual">
      <formula>#REF!</formula>
    </cfRule>
  </conditionalFormatting>
  <conditionalFormatting sqref="A51 A53:A55 A29">
    <cfRule type="cellIs" dxfId="129" priority="8" stopIfTrue="1" operator="notEqual">
      <formula>#REF!</formula>
    </cfRule>
    <cfRule type="cellIs" dxfId="128" priority="9" stopIfTrue="1" operator="notEqual">
      <formula>#REF!</formula>
    </cfRule>
  </conditionalFormatting>
  <conditionalFormatting sqref="A49 D49:I49">
    <cfRule type="cellIs" dxfId="127" priority="7" stopIfTrue="1" operator="notEqual">
      <formula>#REF!</formula>
    </cfRule>
  </conditionalFormatting>
  <conditionalFormatting sqref="A28:C28">
    <cfRule type="cellIs" dxfId="126" priority="35" stopIfTrue="1" operator="notEqual">
      <formula>#REF!</formula>
    </cfRule>
  </conditionalFormatting>
  <conditionalFormatting sqref="A26:C27">
    <cfRule type="cellIs" dxfId="125" priority="3" stopIfTrue="1" operator="notEqual">
      <formula>#REF!</formula>
    </cfRule>
  </conditionalFormatting>
  <conditionalFormatting sqref="A14:E25">
    <cfRule type="cellIs" dxfId="124" priority="45" stopIfTrue="1" operator="notEqual">
      <formula>#REF!</formula>
    </cfRule>
  </conditionalFormatting>
  <conditionalFormatting sqref="A14:E25">
    <cfRule type="cellIs" dxfId="123" priority="46" stopIfTrue="1" operator="notEqual">
      <formula>#REF!</formula>
    </cfRule>
  </conditionalFormatting>
  <dataValidations count="5">
    <dataValidation type="date" allowBlank="1" showInputMessage="1" showErrorMessage="1" sqref="E54:E55">
      <formula1>39814</formula1>
      <formula2>43831</formula2>
    </dataValidation>
    <dataValidation type="list" allowBlank="1" showInputMessage="1" showErrorMessage="1" sqref="D2:H2">
      <formula1>"Select,USD,EUR"</formula1>
    </dataValidation>
    <dataValidation type="list" allowBlank="1" showInputMessage="1" showErrorMessage="1" sqref="F54:F55">
      <formula1>"Select,Submitted to GF, Preparation on track, Overdue"</formula1>
    </dataValidation>
    <dataValidation type="list" allowBlank="1" showInputMessage="1" showErrorMessage="1" sqref="F26:F28">
      <formula1>"Select,Met,Unmet - In Progress,Unmet - Not started"</formula1>
    </dataValidation>
    <dataValidation type="list" allowBlank="1" showInputMessage="1" showErrorMessage="1" sqref="F23:F25 F14:F20">
      <formula1>"Select,Yes,No,Partially,In Progress,N/A"</formula1>
    </dataValidation>
  </dataValidations>
  <printOptions horizontalCentered="1"/>
  <pageMargins left="0.55118110236220474" right="0.55118110236220474" top="0.39370078740157483" bottom="0.59055118110236227" header="0.51181102362204722" footer="0.51181102362204722"/>
  <pageSetup paperSize="9" scale="63" fitToHeight="0" orientation="landscape" cellComments="asDisplayed" r:id="rId2"/>
  <headerFooter alignWithMargins="0">
    <oddFooter>&amp;L&amp;9&amp;F&amp;C&amp;A&amp;R&amp;9Page &amp;P of &amp;N</oddFooter>
  </headerFooter>
  <rowBreaks count="1" manualBreakCount="1">
    <brk id="29"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N21"/>
  <sheetViews>
    <sheetView showGridLines="0" tabSelected="1" view="pageBreakPreview" topLeftCell="C16" zoomScale="70" zoomScaleNormal="55" zoomScaleSheetLayoutView="70" workbookViewId="0">
      <selection activeCell="I24" sqref="I24"/>
    </sheetView>
  </sheetViews>
  <sheetFormatPr defaultRowHeight="12.75" x14ac:dyDescent="0.2"/>
  <cols>
    <col min="1" max="1" width="15" style="72" customWidth="1"/>
    <col min="2" max="2" width="45.42578125" style="72" customWidth="1"/>
    <col min="3" max="3" width="19.28515625" style="72" customWidth="1"/>
    <col min="4" max="4" width="22.140625" style="72" customWidth="1"/>
    <col min="5" max="5" width="19.28515625" style="72" customWidth="1"/>
    <col min="6" max="6" width="26.42578125" style="72" customWidth="1"/>
    <col min="7" max="7" width="22" style="72" customWidth="1"/>
    <col min="8" max="8" width="20.5703125" style="538" customWidth="1"/>
    <col min="9" max="9" width="20.5703125" style="72" customWidth="1"/>
    <col min="10" max="10" width="19.28515625" style="72" customWidth="1"/>
    <col min="11" max="11" width="44.5703125" style="72" customWidth="1"/>
    <col min="12" max="16384" width="9.140625" style="72"/>
  </cols>
  <sheetData>
    <row r="1" spans="1:14" ht="25.5" customHeight="1" x14ac:dyDescent="0.35">
      <c r="A1" s="1916" t="s">
        <v>410</v>
      </c>
      <c r="B1" s="1916"/>
      <c r="C1" s="1916"/>
      <c r="D1" s="1916"/>
      <c r="E1" s="1916"/>
      <c r="F1" s="1916"/>
      <c r="G1" s="1916"/>
      <c r="H1" s="1"/>
      <c r="I1" s="2"/>
      <c r="J1" s="3"/>
      <c r="K1" s="3"/>
      <c r="L1" s="3"/>
    </row>
    <row r="2" spans="1:14" s="63" customFormat="1" ht="27" customHeight="1" thickBot="1" x14ac:dyDescent="0.3">
      <c r="A2" s="98" t="s">
        <v>504</v>
      </c>
      <c r="B2" s="10"/>
      <c r="C2" s="10"/>
      <c r="D2" s="36"/>
      <c r="E2" s="10"/>
      <c r="F2" s="10"/>
      <c r="G2" s="3"/>
      <c r="H2" s="11"/>
      <c r="I2" s="10"/>
      <c r="J2" s="12"/>
      <c r="K2" s="12"/>
      <c r="L2" s="13"/>
    </row>
    <row r="3" spans="1:14" s="73" customFormat="1" ht="28.5" customHeight="1" thickBot="1" x14ac:dyDescent="0.25">
      <c r="A3" s="1742" t="s">
        <v>419</v>
      </c>
      <c r="B3" s="1801"/>
      <c r="C3" s="1801"/>
      <c r="D3" s="1922" t="str">
        <f>IF('PR_Programmatic Progress_1A'!C7="","",'PR_Programmatic Progress_1A'!C7)</f>
        <v>BTN-607-G03-H</v>
      </c>
      <c r="E3" s="1804"/>
      <c r="F3" s="1804"/>
      <c r="G3" s="1805"/>
      <c r="H3" s="4"/>
      <c r="I3" s="4"/>
      <c r="J3" s="4"/>
      <c r="K3" s="4"/>
      <c r="L3" s="4"/>
    </row>
    <row r="4" spans="1:14" s="73" customFormat="1" ht="15" customHeight="1" x14ac:dyDescent="0.2">
      <c r="A4" s="492" t="s">
        <v>621</v>
      </c>
      <c r="B4" s="512"/>
      <c r="C4" s="512"/>
      <c r="D4" s="1237" t="s">
        <v>627</v>
      </c>
      <c r="E4" s="504" t="str">
        <f>IF('PR_Programmatic Progress_1A'!D12="Select","",'PR_Programmatic Progress_1A'!D12)</f>
        <v>Quarter</v>
      </c>
      <c r="F4" s="5" t="s">
        <v>628</v>
      </c>
      <c r="G4" s="47">
        <f>IF('PR_Programmatic Progress_1A'!F12="Select","",'PR_Programmatic Progress_1A'!F12)</f>
        <v>17</v>
      </c>
      <c r="H4" s="4"/>
      <c r="I4" s="4"/>
      <c r="J4" s="4"/>
      <c r="K4" s="4"/>
      <c r="L4" s="4"/>
    </row>
    <row r="5" spans="1:14" s="73" customFormat="1" ht="15" customHeight="1" x14ac:dyDescent="0.2">
      <c r="A5" s="513" t="s">
        <v>622</v>
      </c>
      <c r="B5" s="40"/>
      <c r="C5" s="40"/>
      <c r="D5" s="1238" t="s">
        <v>590</v>
      </c>
      <c r="E5" s="519">
        <f>IF('PR_Programmatic Progress_1A'!D13="","",'PR_Programmatic Progress_1A'!D13)</f>
        <v>40940</v>
      </c>
      <c r="F5" s="5" t="s">
        <v>608</v>
      </c>
      <c r="G5" s="520">
        <f>IF('PR_Programmatic Progress_1A'!F13="","",'PR_Programmatic Progress_1A'!F13)</f>
        <v>41029</v>
      </c>
      <c r="H5" s="4"/>
      <c r="I5" s="4"/>
      <c r="J5" s="4"/>
      <c r="K5" s="4"/>
      <c r="L5" s="4"/>
    </row>
    <row r="6" spans="1:14" s="73" customFormat="1" ht="15" customHeight="1" x14ac:dyDescent="0.2">
      <c r="A6" s="1231" t="s">
        <v>623</v>
      </c>
      <c r="B6" s="1232"/>
      <c r="C6" s="1235"/>
      <c r="D6" s="1923">
        <f>IF('PR_Programmatic Progress_1A'!C14="Select","",'PR_Programmatic Progress_1A'!C14)</f>
        <v>17</v>
      </c>
      <c r="E6" s="1924"/>
      <c r="F6" s="1924"/>
      <c r="G6" s="1925"/>
      <c r="H6" s="4"/>
      <c r="I6" s="4"/>
      <c r="J6" s="4"/>
      <c r="K6" s="4"/>
      <c r="L6" s="4"/>
    </row>
    <row r="7" spans="1:14" s="73" customFormat="1" ht="15" customHeight="1" thickBot="1" x14ac:dyDescent="0.25">
      <c r="A7" s="1233" t="s">
        <v>589</v>
      </c>
      <c r="B7" s="1234"/>
      <c r="C7" s="1236"/>
      <c r="D7" s="1926" t="str">
        <f>IF('PR_Programmatic Progress_1A'!C10="Select","",'PR_Programmatic Progress_1A'!C10)</f>
        <v>USD</v>
      </c>
      <c r="E7" s="1927"/>
      <c r="F7" s="1927"/>
      <c r="G7" s="1928"/>
      <c r="H7" s="4"/>
      <c r="I7" s="4"/>
      <c r="J7" s="4"/>
      <c r="K7" s="4"/>
      <c r="L7" s="4"/>
    </row>
    <row r="8" spans="1:14" s="63" customFormat="1" ht="15.75" customHeight="1" x14ac:dyDescent="0.2">
      <c r="A8" s="10"/>
      <c r="B8" s="10"/>
      <c r="C8" s="10"/>
      <c r="D8" s="36"/>
      <c r="E8" s="10"/>
      <c r="F8" s="12"/>
      <c r="G8" s="11"/>
      <c r="H8" s="10"/>
      <c r="I8" s="12"/>
      <c r="J8" s="12"/>
      <c r="K8" s="13"/>
      <c r="L8" s="13"/>
    </row>
    <row r="9" spans="1:14" s="753" customFormat="1" ht="27" customHeight="1" x14ac:dyDescent="0.2">
      <c r="A9" s="1917" t="s">
        <v>21</v>
      </c>
      <c r="B9" s="1917"/>
      <c r="C9" s="1917"/>
      <c r="D9" s="1917"/>
      <c r="E9" s="1917"/>
      <c r="F9" s="1917"/>
      <c r="G9" s="1917"/>
      <c r="H9" s="1917"/>
      <c r="I9" s="1917"/>
      <c r="J9" s="1917"/>
      <c r="K9" s="526"/>
      <c r="L9" s="541"/>
    </row>
    <row r="10" spans="1:14" s="753" customFormat="1" ht="27" customHeight="1" thickBot="1" x14ac:dyDescent="0.25">
      <c r="A10" s="736" t="s">
        <v>479</v>
      </c>
      <c r="B10" s="735"/>
      <c r="C10" s="735"/>
      <c r="D10" s="735"/>
      <c r="E10" s="735"/>
      <c r="F10" s="735"/>
      <c r="G10" s="735"/>
      <c r="H10" s="735"/>
      <c r="I10" s="735"/>
      <c r="J10" s="735"/>
      <c r="K10" s="526"/>
      <c r="L10" s="541"/>
    </row>
    <row r="11" spans="1:14" s="63" customFormat="1" ht="75" customHeight="1" x14ac:dyDescent="0.2">
      <c r="A11" s="1878"/>
      <c r="B11" s="1875"/>
      <c r="C11" s="500" t="s">
        <v>595</v>
      </c>
      <c r="D11" s="500" t="s">
        <v>413</v>
      </c>
      <c r="E11" s="181" t="s">
        <v>596</v>
      </c>
      <c r="F11" s="1920" t="s">
        <v>597</v>
      </c>
      <c r="G11" s="1921"/>
      <c r="H11" s="500" t="s">
        <v>401</v>
      </c>
      <c r="I11" s="500" t="s">
        <v>414</v>
      </c>
      <c r="J11" s="500" t="s">
        <v>596</v>
      </c>
      <c r="K11" s="182" t="s">
        <v>597</v>
      </c>
      <c r="L11" s="13"/>
    </row>
    <row r="12" spans="1:14" s="63" customFormat="1" ht="75" customHeight="1" x14ac:dyDescent="0.2">
      <c r="A12" s="1918" t="s">
        <v>168</v>
      </c>
      <c r="B12" s="1919"/>
      <c r="C12" s="483">
        <f>C13+C14</f>
        <v>172209</v>
      </c>
      <c r="D12" s="483">
        <f>D13+D14</f>
        <v>89021.549999999988</v>
      </c>
      <c r="E12" s="478">
        <f>IF(C12="",IF(D12="","",C12-D12),C12-D12)</f>
        <v>83187.450000000012</v>
      </c>
      <c r="F12" s="1929"/>
      <c r="G12" s="1930"/>
      <c r="H12" s="483">
        <f>H13+H14</f>
        <v>2617358.0700000003</v>
      </c>
      <c r="I12" s="483">
        <f>I13+I14</f>
        <v>2236321.1100000003</v>
      </c>
      <c r="J12" s="1522">
        <f>IF(H12="",IF(I12="","",H12-I12),H12-I12)</f>
        <v>381036.95999999996</v>
      </c>
      <c r="K12" s="377"/>
      <c r="L12" s="13"/>
    </row>
    <row r="13" spans="1:14" s="63" customFormat="1" ht="118.5" customHeight="1" x14ac:dyDescent="0.2">
      <c r="A13" s="1911" t="s">
        <v>598</v>
      </c>
      <c r="B13" s="1912"/>
      <c r="C13" s="470">
        <v>64029</v>
      </c>
      <c r="D13" s="470">
        <v>38835.31</v>
      </c>
      <c r="E13" s="478">
        <f>IF(C13="",IF(D13="",0,C13-D13),C13-D13)</f>
        <v>25193.690000000002</v>
      </c>
      <c r="F13" s="1909" t="s">
        <v>1177</v>
      </c>
      <c r="G13" s="1910"/>
      <c r="H13" s="1390">
        <f>1109367+64029</f>
        <v>1173396</v>
      </c>
      <c r="I13" s="1528">
        <f>1014297.76+38835</f>
        <v>1053132.76</v>
      </c>
      <c r="J13" s="1521">
        <f>IF(H13="",IF(I13="",0,H13-I13),H13-I13)</f>
        <v>120263.23999999999</v>
      </c>
      <c r="K13" s="1735" t="s">
        <v>1187</v>
      </c>
      <c r="L13" s="13"/>
    </row>
    <row r="14" spans="1:14" s="63" customFormat="1" ht="118.5" customHeight="1" thickBot="1" x14ac:dyDescent="0.25">
      <c r="A14" s="1911" t="s">
        <v>599</v>
      </c>
      <c r="B14" s="1912"/>
      <c r="C14" s="470">
        <v>108180</v>
      </c>
      <c r="D14" s="470">
        <v>50186.239999999998</v>
      </c>
      <c r="E14" s="478">
        <f>IF(C14="",IF(D14="",0,C14-D14),C14-D14)</f>
        <v>57993.760000000002</v>
      </c>
      <c r="F14" s="1849" t="s">
        <v>1178</v>
      </c>
      <c r="G14" s="1910"/>
      <c r="H14" s="1391">
        <f>1335782.07+108180</f>
        <v>1443962.07</v>
      </c>
      <c r="I14" s="1528">
        <f>1133002.35+50186</f>
        <v>1183188.3500000001</v>
      </c>
      <c r="J14" s="1521">
        <f>IF(H14="",IF(I14="",0,H14-I14),H14-I14)</f>
        <v>260773.71999999997</v>
      </c>
      <c r="K14" s="890" t="s">
        <v>1186</v>
      </c>
      <c r="L14" s="13"/>
    </row>
    <row r="15" spans="1:14" s="755" customFormat="1" ht="18.75" customHeight="1" thickBot="1" x14ac:dyDescent="0.25">
      <c r="A15" s="480"/>
      <c r="B15" s="480"/>
      <c r="C15" s="481"/>
      <c r="D15" s="481"/>
      <c r="E15" s="482"/>
      <c r="F15" s="542"/>
      <c r="G15" s="542"/>
      <c r="H15" s="481"/>
      <c r="I15" s="481"/>
      <c r="J15" s="482"/>
      <c r="K15" s="542"/>
      <c r="L15" s="190"/>
      <c r="M15" s="754"/>
      <c r="N15" s="754"/>
    </row>
    <row r="16" spans="1:14" s="63" customFormat="1" ht="91.5" customHeight="1" x14ac:dyDescent="0.2">
      <c r="A16" s="1878"/>
      <c r="B16" s="1875"/>
      <c r="C16" s="500" t="s">
        <v>130</v>
      </c>
      <c r="D16" s="500" t="s">
        <v>413</v>
      </c>
      <c r="E16" s="181" t="s">
        <v>596</v>
      </c>
      <c r="F16" s="1895" t="s">
        <v>597</v>
      </c>
      <c r="G16" s="1906"/>
      <c r="H16" s="500" t="s">
        <v>401</v>
      </c>
      <c r="I16" s="500" t="s">
        <v>414</v>
      </c>
      <c r="J16" s="500" t="s">
        <v>596</v>
      </c>
      <c r="K16" s="183" t="s">
        <v>597</v>
      </c>
      <c r="L16" s="37"/>
    </row>
    <row r="17" spans="1:12" s="63" customFormat="1" ht="78.75" customHeight="1" x14ac:dyDescent="0.2">
      <c r="A17" s="1861" t="s">
        <v>402</v>
      </c>
      <c r="B17" s="1915"/>
      <c r="C17" s="478">
        <f>C18+C19</f>
        <v>0</v>
      </c>
      <c r="D17" s="478">
        <f>D18+D19</f>
        <v>0</v>
      </c>
      <c r="E17" s="478">
        <f>IF(C17="",IF(D17="","",C17-D17),C17-D17)</f>
        <v>0</v>
      </c>
      <c r="F17" s="1907"/>
      <c r="G17" s="1908"/>
      <c r="H17" s="486">
        <f>H18+H19</f>
        <v>317474</v>
      </c>
      <c r="I17" s="486">
        <f>I18+I19</f>
        <v>152846.30000000002</v>
      </c>
      <c r="J17" s="486">
        <f>IF(H17="",IF(I17="","",H17-I17),H17-I17)</f>
        <v>164627.69999999998</v>
      </c>
      <c r="K17" s="546"/>
      <c r="L17" s="37"/>
    </row>
    <row r="18" spans="1:12" s="63" customFormat="1" ht="122.25" customHeight="1" x14ac:dyDescent="0.2">
      <c r="A18" s="1913" t="s">
        <v>389</v>
      </c>
      <c r="B18" s="1914"/>
      <c r="C18" s="470">
        <v>0</v>
      </c>
      <c r="D18" s="470">
        <v>0</v>
      </c>
      <c r="E18" s="484">
        <f>IF(C18="",IF(D18="",0,C18-D18),C18-D18)</f>
        <v>0</v>
      </c>
      <c r="F18" s="1849"/>
      <c r="G18" s="1848"/>
      <c r="H18" s="1392">
        <v>66179</v>
      </c>
      <c r="I18" s="1392">
        <f>16927+15425.7</f>
        <v>32352.7</v>
      </c>
      <c r="J18" s="486">
        <f>IF(H18="",IF(I18="",0,H18-I18),H18-I18)</f>
        <v>33826.300000000003</v>
      </c>
      <c r="K18" s="891" t="s">
        <v>1185</v>
      </c>
      <c r="L18" s="527"/>
    </row>
    <row r="19" spans="1:12" s="63" customFormat="1" ht="122.25" customHeight="1" thickBot="1" x14ac:dyDescent="0.25">
      <c r="A19" s="1904" t="s">
        <v>390</v>
      </c>
      <c r="B19" s="1905"/>
      <c r="C19" s="471">
        <v>0</v>
      </c>
      <c r="D19" s="1402">
        <v>0</v>
      </c>
      <c r="E19" s="484">
        <f>IF(C19="",IF(D19="",0,C19-D19),C19-D19)</f>
        <v>0</v>
      </c>
      <c r="F19" s="1888"/>
      <c r="G19" s="1903"/>
      <c r="H19" s="1393">
        <v>251295</v>
      </c>
      <c r="I19" s="1393">
        <v>120493.6</v>
      </c>
      <c r="J19" s="485">
        <f>IF(H19="",IF(I19="",0,H19-I19),H19-I19)</f>
        <v>130801.4</v>
      </c>
      <c r="K19" s="892" t="s">
        <v>1185</v>
      </c>
      <c r="L19" s="527"/>
    </row>
    <row r="20" spans="1:12" s="63" customFormat="1" ht="10.5" customHeight="1" x14ac:dyDescent="0.2">
      <c r="A20" s="173"/>
      <c r="B20" s="178"/>
      <c r="C20" s="187"/>
      <c r="D20" s="187"/>
      <c r="E20" s="187"/>
      <c r="F20" s="179"/>
      <c r="G20" s="543"/>
      <c r="H20" s="187"/>
      <c r="I20" s="187"/>
      <c r="J20" s="187"/>
      <c r="K20" s="187"/>
      <c r="L20" s="527"/>
    </row>
    <row r="21" spans="1:12" ht="19.5" customHeight="1" x14ac:dyDescent="0.2">
      <c r="A21" s="173"/>
      <c r="B21" s="544"/>
      <c r="C21" s="544"/>
      <c r="D21" s="544"/>
      <c r="E21" s="544"/>
      <c r="F21" s="544"/>
      <c r="G21" s="544"/>
      <c r="H21" s="545"/>
      <c r="I21" s="544"/>
      <c r="J21" s="544"/>
      <c r="K21" s="544"/>
      <c r="L21" s="3"/>
    </row>
  </sheetData>
  <sheetProtection password="92D1" sheet="1" formatCells="0" formatColumns="0" formatRows="0"/>
  <mergeCells count="22">
    <mergeCell ref="A1:G1"/>
    <mergeCell ref="A9:J9"/>
    <mergeCell ref="A12:B12"/>
    <mergeCell ref="A11:B11"/>
    <mergeCell ref="F11:G11"/>
    <mergeCell ref="A3:C3"/>
    <mergeCell ref="D3:G3"/>
    <mergeCell ref="D6:G6"/>
    <mergeCell ref="D7:G7"/>
    <mergeCell ref="F12:G12"/>
    <mergeCell ref="F19:G19"/>
    <mergeCell ref="A19:B19"/>
    <mergeCell ref="F16:G16"/>
    <mergeCell ref="F17:G17"/>
    <mergeCell ref="F13:G13"/>
    <mergeCell ref="A14:B14"/>
    <mergeCell ref="F14:G14"/>
    <mergeCell ref="F18:G18"/>
    <mergeCell ref="A16:B16"/>
    <mergeCell ref="A18:B18"/>
    <mergeCell ref="A13:B13"/>
    <mergeCell ref="A17:B17"/>
  </mergeCells>
  <phoneticPr fontId="37" type="noConversion"/>
  <conditionalFormatting sqref="E15:E16 J15 K17:K20 F16:F17 C13:D14 C20:J20 I13:I14 H17:I17 C17:C19 D17:D18">
    <cfRule type="cellIs" dxfId="122" priority="7" stopIfTrue="1" operator="lessThan">
      <formula>0</formula>
    </cfRule>
  </conditionalFormatting>
  <conditionalFormatting sqref="E15:E16 J15:J16 F16:F17 C20:K20 K17:K19 H17">
    <cfRule type="cellIs" dxfId="121" priority="6" stopIfTrue="1" operator="lessThan">
      <formula>0</formula>
    </cfRule>
  </conditionalFormatting>
  <dataValidations count="1">
    <dataValidation type="list" allowBlank="1" showInputMessage="1" showErrorMessage="1" sqref="C2:F2">
      <formula1>"Select,USD,EUR"</formula1>
    </dataValidation>
  </dataValidations>
  <printOptions horizontalCentered="1"/>
  <pageMargins left="0.74803149606299213" right="0.74803149606299213" top="0.39370078740157483" bottom="0.39370078740157483" header="0.51181102362204722" footer="0.51181102362204722"/>
  <pageSetup paperSize="9" scale="48" fitToHeight="0" orientation="landscape" cellComments="asDisplayed" r:id="rId1"/>
  <headerFooter alignWithMargins="0">
    <oddFooter>&amp;L&amp;9&amp;F&amp;C&amp;A&amp;R&amp;9Page &amp;P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pageSetUpPr fitToPage="1"/>
  </sheetPr>
  <dimension ref="A1:Z75"/>
  <sheetViews>
    <sheetView view="pageBreakPreview" topLeftCell="A19" zoomScale="115" zoomScaleNormal="55" zoomScaleSheetLayoutView="115" workbookViewId="0">
      <selection activeCell="C35" sqref="C35"/>
    </sheetView>
  </sheetViews>
  <sheetFormatPr defaultRowHeight="12.75" x14ac:dyDescent="0.2"/>
  <cols>
    <col min="1" max="7" width="18.140625" style="861" customWidth="1"/>
    <col min="8" max="8" width="47.28515625" style="861" customWidth="1"/>
    <col min="9" max="11" width="18.140625" style="861" customWidth="1"/>
    <col min="12" max="12" width="42.85546875" style="861" customWidth="1"/>
    <col min="13" max="13" width="4.28515625" style="861" customWidth="1"/>
    <col min="14" max="15" width="9.140625" style="861"/>
    <col min="16" max="26" width="0" style="861" hidden="1" customWidth="1"/>
    <col min="27" max="16384" width="9.140625" style="861"/>
  </cols>
  <sheetData>
    <row r="1" spans="1:26" ht="18" x14ac:dyDescent="0.25">
      <c r="A1" s="1989" t="s">
        <v>208</v>
      </c>
      <c r="B1" s="1989"/>
      <c r="C1" s="1989"/>
      <c r="D1" s="1989"/>
      <c r="E1" s="1989"/>
      <c r="F1" s="1989"/>
      <c r="G1" s="916"/>
      <c r="H1" s="916"/>
      <c r="I1" s="917"/>
      <c r="J1" s="917"/>
      <c r="K1" s="917"/>
      <c r="L1" s="72"/>
      <c r="M1" s="723"/>
    </row>
    <row r="2" spans="1:26" ht="7.5" customHeight="1" thickBot="1" x14ac:dyDescent="0.25">
      <c r="A2" s="72"/>
      <c r="B2" s="72"/>
      <c r="C2" s="72"/>
      <c r="D2" s="918"/>
      <c r="E2" s="453"/>
      <c r="F2" s="919"/>
      <c r="G2" s="523"/>
      <c r="H2" s="72"/>
      <c r="I2" s="917"/>
      <c r="J2" s="917"/>
      <c r="K2" s="917"/>
      <c r="L2" s="72"/>
      <c r="M2" s="723"/>
    </row>
    <row r="3" spans="1:26" x14ac:dyDescent="0.2">
      <c r="A3" s="1990" t="s">
        <v>424</v>
      </c>
      <c r="B3" s="1991"/>
      <c r="C3" s="1992" t="str">
        <f>'PR_Programmatic Progress_1A'!C5:F5</f>
        <v>Bhutan</v>
      </c>
      <c r="D3" s="1993"/>
      <c r="E3" s="453"/>
      <c r="F3" s="1994" t="s">
        <v>425</v>
      </c>
      <c r="G3" s="1995"/>
      <c r="H3" s="1995"/>
      <c r="I3" s="917"/>
      <c r="J3" s="917"/>
      <c r="K3" s="917"/>
      <c r="L3" s="72"/>
      <c r="M3" s="723"/>
    </row>
    <row r="4" spans="1:26" x14ac:dyDescent="0.2">
      <c r="A4" s="1996" t="s">
        <v>426</v>
      </c>
      <c r="B4" s="1997"/>
      <c r="C4" s="1998" t="str">
        <f>'PR_Programmatic Progress_1A'!C7:F7</f>
        <v>BTN-607-G03-H</v>
      </c>
      <c r="D4" s="1999"/>
      <c r="E4" s="453"/>
      <c r="F4" s="1995"/>
      <c r="G4" s="1995"/>
      <c r="H4" s="1995"/>
      <c r="I4" s="917"/>
      <c r="J4" s="917"/>
      <c r="K4" s="917"/>
      <c r="L4" s="72"/>
      <c r="M4" s="723"/>
    </row>
    <row r="5" spans="1:26" x14ac:dyDescent="0.2">
      <c r="A5" s="1996" t="s">
        <v>427</v>
      </c>
      <c r="B5" s="1997"/>
      <c r="C5" s="1998" t="str">
        <f>'PR_Programmatic Progress_1A'!C8:F8</f>
        <v xml:space="preserve">Ministry of Health </v>
      </c>
      <c r="D5" s="1999"/>
      <c r="E5" s="453"/>
      <c r="F5" s="1252" t="s">
        <v>324</v>
      </c>
      <c r="G5" s="523"/>
      <c r="H5" s="72"/>
      <c r="I5" s="917"/>
      <c r="J5" s="917"/>
      <c r="K5" s="917"/>
      <c r="L5" s="72"/>
      <c r="M5" s="723"/>
    </row>
    <row r="6" spans="1:26" ht="13.5" thickBot="1" x14ac:dyDescent="0.25">
      <c r="A6" s="2003" t="s">
        <v>349</v>
      </c>
      <c r="B6" s="2004"/>
      <c r="C6" s="2005" t="s">
        <v>655</v>
      </c>
      <c r="D6" s="2006"/>
      <c r="E6" s="453"/>
      <c r="F6" s="919"/>
      <c r="G6" s="523"/>
      <c r="H6" s="72"/>
      <c r="I6" s="917"/>
      <c r="J6" s="917"/>
      <c r="K6" s="917"/>
      <c r="L6" s="72"/>
      <c r="M6" s="723"/>
    </row>
    <row r="7" spans="1:26" x14ac:dyDescent="0.2">
      <c r="A7" s="2014"/>
      <c r="B7" s="2014"/>
      <c r="C7" s="72"/>
      <c r="D7" s="72"/>
      <c r="E7" s="72"/>
      <c r="F7" s="72"/>
      <c r="G7" s="920" t="s">
        <v>429</v>
      </c>
      <c r="H7" s="72"/>
      <c r="I7" s="917"/>
      <c r="J7" s="917"/>
      <c r="K7" s="920" t="s">
        <v>429</v>
      </c>
      <c r="L7" s="72"/>
      <c r="M7" s="723"/>
    </row>
    <row r="8" spans="1:26" x14ac:dyDescent="0.2">
      <c r="A8" s="2017"/>
      <c r="B8" s="2017"/>
      <c r="C8" s="627"/>
      <c r="D8" s="72"/>
      <c r="E8" s="2015" t="s">
        <v>430</v>
      </c>
      <c r="F8" s="921" t="s">
        <v>431</v>
      </c>
      <c r="G8" s="922"/>
      <c r="H8" s="999"/>
      <c r="I8" s="2015" t="s">
        <v>432</v>
      </c>
      <c r="J8" s="921" t="s">
        <v>431</v>
      </c>
      <c r="K8" s="922"/>
      <c r="L8" s="72"/>
      <c r="M8" s="723"/>
    </row>
    <row r="9" spans="1:26" x14ac:dyDescent="0.2">
      <c r="A9" s="72"/>
      <c r="B9" s="72"/>
      <c r="C9" s="72"/>
      <c r="D9" s="918"/>
      <c r="E9" s="2016"/>
      <c r="F9" s="921" t="s">
        <v>608</v>
      </c>
      <c r="G9" s="922"/>
      <c r="H9" s="999"/>
      <c r="I9" s="2016"/>
      <c r="J9" s="921" t="s">
        <v>608</v>
      </c>
      <c r="K9" s="922"/>
      <c r="L9" s="72"/>
      <c r="M9" s="723"/>
    </row>
    <row r="10" spans="1:26" ht="40.5" customHeight="1" x14ac:dyDescent="0.2">
      <c r="A10" s="72"/>
      <c r="B10" s="72"/>
      <c r="C10" s="914"/>
      <c r="D10" s="918"/>
      <c r="E10" s="72"/>
      <c r="F10" s="72"/>
      <c r="G10" s="923"/>
      <c r="H10" s="923" t="s">
        <v>433</v>
      </c>
      <c r="I10" s="72"/>
      <c r="J10" s="72"/>
      <c r="K10" s="72"/>
      <c r="L10" s="72"/>
      <c r="M10" s="723"/>
    </row>
    <row r="11" spans="1:26" ht="5.25" customHeight="1" x14ac:dyDescent="0.2">
      <c r="A11" s="72"/>
      <c r="B11" s="72"/>
      <c r="C11" s="72"/>
      <c r="D11" s="918"/>
      <c r="E11" s="72"/>
      <c r="F11" s="72"/>
      <c r="G11" s="923"/>
      <c r="H11" s="923"/>
      <c r="I11" s="72"/>
      <c r="J11" s="72"/>
      <c r="K11" s="72"/>
      <c r="L11" s="72"/>
      <c r="M11" s="723"/>
    </row>
    <row r="12" spans="1:26" ht="14.25" customHeight="1" x14ac:dyDescent="0.2">
      <c r="A12" s="72"/>
      <c r="B12" s="72"/>
      <c r="C12" s="72"/>
      <c r="D12" s="918"/>
      <c r="E12" s="2018" t="s">
        <v>434</v>
      </c>
      <c r="F12" s="2018"/>
      <c r="G12" s="2018"/>
      <c r="H12" s="2018"/>
      <c r="I12" s="72"/>
      <c r="J12" s="72"/>
      <c r="K12" s="72"/>
      <c r="L12" s="72"/>
      <c r="M12" s="723"/>
    </row>
    <row r="13" spans="1:26" x14ac:dyDescent="0.2">
      <c r="A13" s="72"/>
      <c r="B13" s="72"/>
      <c r="C13" s="72"/>
      <c r="D13" s="918"/>
      <c r="E13" s="2018"/>
      <c r="F13" s="2018"/>
      <c r="G13" s="2018"/>
      <c r="H13" s="2018"/>
      <c r="I13" s="72"/>
      <c r="J13" s="72"/>
      <c r="K13" s="72"/>
      <c r="L13" s="72"/>
      <c r="M13" s="723"/>
    </row>
    <row r="14" spans="1:26" ht="6" customHeight="1" thickBot="1" x14ac:dyDescent="0.25">
      <c r="A14" s="72"/>
      <c r="B14" s="72"/>
      <c r="C14" s="72"/>
      <c r="D14" s="918"/>
      <c r="E14" s="924"/>
      <c r="F14" s="924"/>
      <c r="G14" s="924"/>
      <c r="H14" s="924"/>
      <c r="I14" s="72"/>
      <c r="J14" s="72"/>
      <c r="K14" s="72"/>
      <c r="L14" s="72"/>
      <c r="M14" s="723"/>
    </row>
    <row r="15" spans="1:26" ht="15.75" customHeight="1" thickBot="1" x14ac:dyDescent="0.3">
      <c r="A15" s="911" t="s">
        <v>435</v>
      </c>
      <c r="B15" s="719"/>
      <c r="C15" s="719"/>
      <c r="D15" s="925"/>
      <c r="E15" s="1966" t="s">
        <v>430</v>
      </c>
      <c r="F15" s="1967"/>
      <c r="G15" s="1967"/>
      <c r="H15" s="1967"/>
      <c r="I15" s="1968" t="s">
        <v>432</v>
      </c>
      <c r="J15" s="1967"/>
      <c r="K15" s="1967"/>
      <c r="L15" s="1969"/>
      <c r="M15" s="723"/>
      <c r="P15" s="1898" t="str">
        <f>IF('PR_Programmatic Progress_1A'!R15="Select","Please select currency on Page 'PR_Programmatic Achievement (1)'", "All amounts are in: "&amp;'PR_Programmatic Progress_1A'!R15)</f>
        <v xml:space="preserve">All amounts are in: </v>
      </c>
      <c r="Q15" s="1906"/>
      <c r="R15" s="500" t="s">
        <v>595</v>
      </c>
      <c r="S15" s="500" t="s">
        <v>413</v>
      </c>
      <c r="T15" s="181" t="s">
        <v>596</v>
      </c>
      <c r="U15" s="1920" t="s">
        <v>597</v>
      </c>
      <c r="V15" s="1921"/>
      <c r="W15" s="500" t="s">
        <v>401</v>
      </c>
      <c r="X15" s="500" t="s">
        <v>414</v>
      </c>
      <c r="Y15" s="500" t="s">
        <v>596</v>
      </c>
      <c r="Z15" s="182" t="s">
        <v>597</v>
      </c>
    </row>
    <row r="16" spans="1:26" ht="30.75" thickBot="1" x14ac:dyDescent="0.3">
      <c r="A16" s="720" t="s">
        <v>436</v>
      </c>
      <c r="B16" s="2013" t="s">
        <v>437</v>
      </c>
      <c r="C16" s="2013"/>
      <c r="D16" s="926"/>
      <c r="E16" s="913" t="s">
        <v>438</v>
      </c>
      <c r="F16" s="927" t="s">
        <v>439</v>
      </c>
      <c r="G16" s="928" t="s">
        <v>596</v>
      </c>
      <c r="H16" s="929" t="s">
        <v>597</v>
      </c>
      <c r="I16" s="721" t="s">
        <v>440</v>
      </c>
      <c r="J16" s="930" t="s">
        <v>441</v>
      </c>
      <c r="K16" s="931" t="s">
        <v>596</v>
      </c>
      <c r="L16" s="932" t="s">
        <v>597</v>
      </c>
      <c r="M16" s="723"/>
      <c r="P16" s="2019" t="s">
        <v>168</v>
      </c>
      <c r="Q16" s="2020"/>
      <c r="R16" s="483">
        <f>R17+R18</f>
        <v>172209</v>
      </c>
      <c r="S16" s="483">
        <f>S17+S18</f>
        <v>89021.549999999988</v>
      </c>
      <c r="T16" s="478">
        <f>IF(R16="",IF(S16="","",R16-S16),R16-S16)</f>
        <v>83187.450000000012</v>
      </c>
      <c r="U16" s="1929"/>
      <c r="V16" s="1930"/>
      <c r="W16" s="483">
        <f>W17+W18</f>
        <v>2617358.0700000003</v>
      </c>
      <c r="X16" s="483">
        <f>X17+X18</f>
        <v>2236321.1100000003</v>
      </c>
      <c r="Y16" s="478">
        <f>IF(W16="",IF(X16="","",W16-X16),W16-X16)</f>
        <v>381036.95999999996</v>
      </c>
      <c r="Z16" s="377"/>
    </row>
    <row r="17" spans="1:26" ht="14.25" x14ac:dyDescent="0.2">
      <c r="A17" s="933">
        <v>1</v>
      </c>
      <c r="B17" s="2010" t="s">
        <v>442</v>
      </c>
      <c r="C17" s="2011"/>
      <c r="D17" s="2012"/>
      <c r="E17" s="1394">
        <f>'[5]Year 5'!$H$48</f>
        <v>6000</v>
      </c>
      <c r="F17" s="934"/>
      <c r="G17" s="935">
        <f>IF((E17=0)*AND(F17=0)," ",E17-F17)</f>
        <v>6000</v>
      </c>
      <c r="H17" s="936"/>
      <c r="I17" s="937"/>
      <c r="J17" s="938"/>
      <c r="K17" s="935" t="str">
        <f t="shared" ref="K17:K29" si="0">IF((I17=0)*AND(J17=0)," ",I17-J17)</f>
        <v xml:space="preserve"> </v>
      </c>
      <c r="L17" s="939"/>
      <c r="M17" s="723"/>
      <c r="P17" s="2021" t="s">
        <v>598</v>
      </c>
      <c r="Q17" s="2022"/>
      <c r="R17" s="470">
        <f>'PR_Total PR Cash Outflow_3A'!C13</f>
        <v>64029</v>
      </c>
      <c r="S17" s="470">
        <f>'PR_Total PR Cash Outflow_3A'!D13</f>
        <v>38835.31</v>
      </c>
      <c r="T17" s="478">
        <f>IF(R17="",IF(S17="",0,R17-S17),R17-S17)</f>
        <v>25193.690000000002</v>
      </c>
      <c r="U17" s="1849"/>
      <c r="V17" s="1848"/>
      <c r="W17" s="470">
        <f>'PR_Total PR Cash Outflow_3A'!H13</f>
        <v>1173396</v>
      </c>
      <c r="X17" s="470">
        <f>'PR_Total PR Cash Outflow_3A'!I13</f>
        <v>1053132.76</v>
      </c>
      <c r="Y17" s="478">
        <f>IF(W17="",IF(X17="",0,W17-X17),W17-X17)</f>
        <v>120263.23999999999</v>
      </c>
      <c r="Z17" s="890"/>
    </row>
    <row r="18" spans="1:26" ht="15" thickBot="1" x14ac:dyDescent="0.25">
      <c r="A18" s="940">
        <v>2</v>
      </c>
      <c r="B18" s="2007" t="s">
        <v>443</v>
      </c>
      <c r="C18" s="2008"/>
      <c r="D18" s="2009"/>
      <c r="E18" s="1395">
        <v>0</v>
      </c>
      <c r="F18" s="941"/>
      <c r="G18" s="935" t="str">
        <f t="shared" ref="G18:G29" si="1">IF((E18=0)*AND(F18=0)," ",E18-F18)</f>
        <v xml:space="preserve"> </v>
      </c>
      <c r="H18" s="942"/>
      <c r="I18" s="943"/>
      <c r="J18" s="944"/>
      <c r="K18" s="935" t="str">
        <f t="shared" si="0"/>
        <v xml:space="preserve"> </v>
      </c>
      <c r="L18" s="945"/>
      <c r="M18" s="723"/>
      <c r="P18" s="2028" t="s">
        <v>599</v>
      </c>
      <c r="Q18" s="2029"/>
      <c r="R18" s="471">
        <f>'PR_Total PR Cash Outflow_3A'!C14</f>
        <v>108180</v>
      </c>
      <c r="S18" s="471">
        <f>'PR_Total PR Cash Outflow_3A'!D14</f>
        <v>50186.239999999998</v>
      </c>
      <c r="T18" s="750">
        <f>IF(R18="",IF(S18="",0,R18-S18),R18-S18)</f>
        <v>57993.760000000002</v>
      </c>
      <c r="U18" s="1888"/>
      <c r="V18" s="2025"/>
      <c r="W18" s="471">
        <f>'PR_Total PR Cash Outflow_3A'!H14</f>
        <v>1443962.07</v>
      </c>
      <c r="X18" s="471">
        <f>'PR_Total PR Cash Outflow_3A'!I14</f>
        <v>1183188.3500000001</v>
      </c>
      <c r="Y18" s="750">
        <f>IF(W18="",IF(X18="",0,W18-X18),W18-X18)</f>
        <v>260773.71999999997</v>
      </c>
      <c r="Z18" s="1094"/>
    </row>
    <row r="19" spans="1:26" ht="15.75" customHeight="1" thickBot="1" x14ac:dyDescent="0.25">
      <c r="A19" s="940">
        <v>3</v>
      </c>
      <c r="B19" s="2007" t="s">
        <v>444</v>
      </c>
      <c r="C19" s="2008"/>
      <c r="D19" s="2009"/>
      <c r="E19" s="1395">
        <f>'[5]Year 4'!$H$15+'[5]Year 4'!$H$18+'[5]Year 4'!$H$20+'[5]Year 4'!$H$29+'[5]Year 4'!$H$33+'[5]Year 4'!$H$39+'[5]Year 4'!$H$60+'[6]Year 4'!$H$16+'[6]Year 4'!$H$59</f>
        <v>141354</v>
      </c>
      <c r="F19" s="941"/>
      <c r="G19" s="935">
        <f t="shared" si="1"/>
        <v>141354</v>
      </c>
      <c r="H19" s="942"/>
      <c r="I19" s="943"/>
      <c r="J19" s="944"/>
      <c r="K19" s="935" t="str">
        <f t="shared" si="0"/>
        <v xml:space="preserve"> </v>
      </c>
      <c r="L19" s="945"/>
      <c r="M19" s="723"/>
      <c r="P19" s="480"/>
      <c r="Q19" s="480"/>
      <c r="R19" s="481"/>
      <c r="S19" s="481"/>
      <c r="T19" s="482"/>
      <c r="U19" s="542"/>
      <c r="V19" s="542"/>
      <c r="W19" s="481"/>
      <c r="X19" s="481"/>
      <c r="Y19" s="482"/>
      <c r="Z19" s="542"/>
    </row>
    <row r="20" spans="1:26" ht="15.75" customHeight="1" x14ac:dyDescent="0.2">
      <c r="A20" s="940">
        <v>4</v>
      </c>
      <c r="B20" s="2007" t="s">
        <v>445</v>
      </c>
      <c r="C20" s="2008"/>
      <c r="D20" s="2009"/>
      <c r="E20" s="1395">
        <v>0</v>
      </c>
      <c r="F20" s="941"/>
      <c r="G20" s="935" t="str">
        <f t="shared" si="1"/>
        <v xml:space="preserve"> </v>
      </c>
      <c r="H20" s="942"/>
      <c r="I20" s="943"/>
      <c r="J20" s="944"/>
      <c r="K20" s="935" t="str">
        <f t="shared" si="0"/>
        <v xml:space="preserve"> </v>
      </c>
      <c r="L20" s="945"/>
      <c r="M20" s="723"/>
      <c r="P20" s="1898"/>
      <c r="Q20" s="1906"/>
      <c r="R20" s="500" t="s">
        <v>130</v>
      </c>
      <c r="S20" s="500" t="s">
        <v>413</v>
      </c>
      <c r="T20" s="181" t="s">
        <v>596</v>
      </c>
      <c r="U20" s="1895" t="s">
        <v>597</v>
      </c>
      <c r="V20" s="1906"/>
      <c r="W20" s="500" t="s">
        <v>401</v>
      </c>
      <c r="X20" s="500" t="s">
        <v>414</v>
      </c>
      <c r="Y20" s="500" t="s">
        <v>596</v>
      </c>
      <c r="Z20" s="183" t="s">
        <v>597</v>
      </c>
    </row>
    <row r="21" spans="1:26" ht="15" x14ac:dyDescent="0.2">
      <c r="A21" s="940">
        <v>5</v>
      </c>
      <c r="B21" s="2007" t="s">
        <v>446</v>
      </c>
      <c r="C21" s="2008"/>
      <c r="D21" s="2009"/>
      <c r="E21" s="1395"/>
      <c r="F21" s="941"/>
      <c r="G21" s="935" t="str">
        <f t="shared" si="1"/>
        <v xml:space="preserve"> </v>
      </c>
      <c r="H21" s="942"/>
      <c r="I21" s="943"/>
      <c r="J21" s="944"/>
      <c r="K21" s="935" t="str">
        <f t="shared" si="0"/>
        <v xml:space="preserve"> </v>
      </c>
      <c r="L21" s="945"/>
      <c r="M21" s="723"/>
      <c r="P21" s="2026" t="s">
        <v>402</v>
      </c>
      <c r="Q21" s="2027"/>
      <c r="R21" s="478">
        <f>R22+R23</f>
        <v>0</v>
      </c>
      <c r="S21" s="478">
        <f>S22+S23</f>
        <v>0</v>
      </c>
      <c r="T21" s="478">
        <f>IF(R21="",IF(S21="","",R21-S21),R21-S21)</f>
        <v>0</v>
      </c>
      <c r="U21" s="1907"/>
      <c r="V21" s="1908"/>
      <c r="W21" s="486">
        <f>W22+W23</f>
        <v>317474</v>
      </c>
      <c r="X21" s="486">
        <f>X22+X23</f>
        <v>152846.30000000002</v>
      </c>
      <c r="Y21" s="486">
        <f>IF(W21="",IF(X21="","",W21-X21),W21-X21)</f>
        <v>164627.69999999998</v>
      </c>
      <c r="Z21" s="546"/>
    </row>
    <row r="22" spans="1:26" ht="14.25" x14ac:dyDescent="0.2">
      <c r="A22" s="940">
        <v>6</v>
      </c>
      <c r="B22" s="2000" t="s">
        <v>447</v>
      </c>
      <c r="C22" s="2001"/>
      <c r="D22" s="2002"/>
      <c r="E22" s="1395">
        <v>0</v>
      </c>
      <c r="F22" s="941"/>
      <c r="G22" s="935" t="str">
        <f t="shared" si="1"/>
        <v xml:space="preserve"> </v>
      </c>
      <c r="H22" s="942"/>
      <c r="I22" s="943"/>
      <c r="J22" s="944"/>
      <c r="K22" s="935" t="str">
        <f t="shared" si="0"/>
        <v xml:space="preserve"> </v>
      </c>
      <c r="L22" s="945"/>
      <c r="M22" s="723"/>
      <c r="P22" s="1913" t="s">
        <v>389</v>
      </c>
      <c r="Q22" s="1914"/>
      <c r="R22" s="470">
        <f>'PR_Total PR Cash Outflow_3A'!C18</f>
        <v>0</v>
      </c>
      <c r="S22" s="470">
        <f>'PR_Total PR Cash Outflow_3A'!D18</f>
        <v>0</v>
      </c>
      <c r="T22" s="484">
        <f>IF(R22="",IF(S22="",0,R22-S22),R22-S22)</f>
        <v>0</v>
      </c>
      <c r="U22" s="1849"/>
      <c r="V22" s="1848"/>
      <c r="W22" s="470">
        <f>'PR_Total PR Cash Outflow_3A'!H18</f>
        <v>66179</v>
      </c>
      <c r="X22" s="470">
        <f>'PR_Total PR Cash Outflow_3A'!I18</f>
        <v>32352.7</v>
      </c>
      <c r="Y22" s="486">
        <f>IF(W22="",IF(X22="",0,W22-X22),W22-X22)</f>
        <v>33826.300000000003</v>
      </c>
      <c r="Z22" s="891"/>
    </row>
    <row r="23" spans="1:26" ht="15" thickBot="1" x14ac:dyDescent="0.25">
      <c r="A23" s="946">
        <v>7</v>
      </c>
      <c r="B23" s="2000" t="s">
        <v>448</v>
      </c>
      <c r="C23" s="2001"/>
      <c r="D23" s="2002"/>
      <c r="E23" s="1395">
        <f>'[7]Year 4'!$H$8+'[7]Year 4'!$H$9+'[7]Year 4'!$H$10+'[7]Year 4'!$H$11+'[7]Year 4'!$H$12</f>
        <v>47910</v>
      </c>
      <c r="F23" s="941"/>
      <c r="G23" s="935">
        <f t="shared" si="1"/>
        <v>47910</v>
      </c>
      <c r="H23" s="942"/>
      <c r="I23" s="943"/>
      <c r="J23" s="944"/>
      <c r="K23" s="935" t="str">
        <f t="shared" si="0"/>
        <v xml:space="preserve"> </v>
      </c>
      <c r="L23" s="945"/>
      <c r="M23" s="723"/>
      <c r="P23" s="2023" t="s">
        <v>390</v>
      </c>
      <c r="Q23" s="2024"/>
      <c r="R23" s="471">
        <f>'PR_Total PR Cash Outflow_3A'!C19</f>
        <v>0</v>
      </c>
      <c r="S23" s="471">
        <f>'PR_Total PR Cash Outflow_3A'!D19</f>
        <v>0</v>
      </c>
      <c r="T23" s="1093">
        <f>IF(R23="",IF(S23="",0,R23-S23),R23-S23)</f>
        <v>0</v>
      </c>
      <c r="U23" s="1888"/>
      <c r="V23" s="2025"/>
      <c r="W23" s="471">
        <f>'PR_Total PR Cash Outflow_3A'!H19</f>
        <v>251295</v>
      </c>
      <c r="X23" s="471">
        <f>'PR_Total PR Cash Outflow_3A'!I19</f>
        <v>120493.6</v>
      </c>
      <c r="Y23" s="485">
        <f>IF(W23="",IF(X23="",0,W23-X23),W23-X23)</f>
        <v>130801.4</v>
      </c>
      <c r="Z23" s="892"/>
    </row>
    <row r="24" spans="1:26" x14ac:dyDescent="0.2">
      <c r="A24" s="947">
        <v>8</v>
      </c>
      <c r="B24" s="2000" t="s">
        <v>449</v>
      </c>
      <c r="C24" s="2001"/>
      <c r="D24" s="2002"/>
      <c r="E24" s="1395">
        <f>'[7]Year 4'!$H$24+'[7]Year 4'!$H$25+'[7]Year 4'!$H$34+'[7]Year 4'!$H$43+'[7]Year 4'!$H$51</f>
        <v>45375</v>
      </c>
      <c r="F24" s="949"/>
      <c r="G24" s="935">
        <f t="shared" si="1"/>
        <v>45375</v>
      </c>
      <c r="H24" s="950"/>
      <c r="I24" s="943"/>
      <c r="J24" s="944"/>
      <c r="K24" s="935" t="str">
        <f t="shared" si="0"/>
        <v xml:space="preserve"> </v>
      </c>
      <c r="L24" s="951"/>
      <c r="M24" s="723"/>
    </row>
    <row r="25" spans="1:26" x14ac:dyDescent="0.2">
      <c r="A25" s="947">
        <v>9</v>
      </c>
      <c r="B25" s="2000" t="s">
        <v>194</v>
      </c>
      <c r="C25" s="2001"/>
      <c r="D25" s="2002"/>
      <c r="E25" s="1395">
        <f>'[7]Year 4'!$H$56</f>
        <v>2460</v>
      </c>
      <c r="F25" s="949"/>
      <c r="G25" s="935">
        <f t="shared" si="1"/>
        <v>2460</v>
      </c>
      <c r="H25" s="950"/>
      <c r="I25" s="943"/>
      <c r="J25" s="944"/>
      <c r="K25" s="935" t="str">
        <f t="shared" si="0"/>
        <v xml:space="preserve"> </v>
      </c>
      <c r="L25" s="951"/>
      <c r="M25" s="723"/>
    </row>
    <row r="26" spans="1:26" x14ac:dyDescent="0.2">
      <c r="A26" s="947">
        <v>10</v>
      </c>
      <c r="B26" s="2000" t="s">
        <v>195</v>
      </c>
      <c r="C26" s="2001"/>
      <c r="D26" s="2002"/>
      <c r="E26" s="1395">
        <v>0</v>
      </c>
      <c r="F26" s="949"/>
      <c r="G26" s="935" t="str">
        <f t="shared" si="1"/>
        <v xml:space="preserve"> </v>
      </c>
      <c r="H26" s="950"/>
      <c r="I26" s="943"/>
      <c r="J26" s="944"/>
      <c r="K26" s="935" t="str">
        <f t="shared" si="0"/>
        <v xml:space="preserve"> </v>
      </c>
      <c r="L26" s="951"/>
      <c r="M26" s="723"/>
    </row>
    <row r="27" spans="1:26" x14ac:dyDescent="0.2">
      <c r="A27" s="947">
        <v>11</v>
      </c>
      <c r="B27" s="2000" t="s">
        <v>450</v>
      </c>
      <c r="C27" s="2001"/>
      <c r="D27" s="2002"/>
      <c r="E27" s="1395">
        <v>0</v>
      </c>
      <c r="F27" s="949"/>
      <c r="G27" s="935" t="str">
        <f t="shared" si="1"/>
        <v xml:space="preserve"> </v>
      </c>
      <c r="H27" s="950"/>
      <c r="I27" s="943"/>
      <c r="J27" s="944"/>
      <c r="K27" s="935" t="str">
        <f t="shared" si="0"/>
        <v xml:space="preserve"> </v>
      </c>
      <c r="L27" s="951"/>
      <c r="M27" s="723"/>
    </row>
    <row r="28" spans="1:26" x14ac:dyDescent="0.2">
      <c r="A28" s="947">
        <v>12</v>
      </c>
      <c r="B28" s="2000" t="s">
        <v>451</v>
      </c>
      <c r="C28" s="2001"/>
      <c r="D28" s="2002"/>
      <c r="E28" s="1395">
        <f>'[7]Year 4'!$H$30+'[7]Year 4'!$H$46</f>
        <v>1473</v>
      </c>
      <c r="F28" s="949"/>
      <c r="G28" s="935">
        <f t="shared" si="1"/>
        <v>1473</v>
      </c>
      <c r="H28" s="950"/>
      <c r="I28" s="943"/>
      <c r="J28" s="944"/>
      <c r="K28" s="935" t="str">
        <f t="shared" si="0"/>
        <v xml:space="preserve"> </v>
      </c>
      <c r="L28" s="951"/>
      <c r="M28" s="723"/>
    </row>
    <row r="29" spans="1:26" ht="13.5" thickBot="1" x14ac:dyDescent="0.25">
      <c r="A29" s="952">
        <v>13</v>
      </c>
      <c r="B29" s="1961" t="s">
        <v>452</v>
      </c>
      <c r="C29" s="1962"/>
      <c r="D29" s="1963"/>
      <c r="E29" s="1396">
        <v>0</v>
      </c>
      <c r="F29" s="953"/>
      <c r="G29" s="935" t="str">
        <f t="shared" si="1"/>
        <v xml:space="preserve"> </v>
      </c>
      <c r="H29" s="954"/>
      <c r="I29" s="955"/>
      <c r="J29" s="956"/>
      <c r="K29" s="935" t="str">
        <f t="shared" si="0"/>
        <v xml:space="preserve"> </v>
      </c>
      <c r="L29" s="957"/>
      <c r="M29" s="723"/>
    </row>
    <row r="30" spans="1:26" ht="13.5" thickBot="1" x14ac:dyDescent="0.25">
      <c r="A30" s="1964"/>
      <c r="B30" s="1965"/>
      <c r="C30" s="1965"/>
      <c r="D30" s="912" t="s">
        <v>386</v>
      </c>
      <c r="E30" s="958">
        <f>SUM(E17:E29)</f>
        <v>244572</v>
      </c>
      <c r="F30" s="958">
        <f>SUM(F17:F29)</f>
        <v>0</v>
      </c>
      <c r="G30" s="959">
        <f>SUM(G17:G29)</f>
        <v>244572</v>
      </c>
      <c r="H30" s="960"/>
      <c r="I30" s="722">
        <f>SUM(I17:I29)</f>
        <v>0</v>
      </c>
      <c r="J30" s="958">
        <f>SUM(J17:J29)</f>
        <v>0</v>
      </c>
      <c r="K30" s="958">
        <f>SUM(K17:K29)</f>
        <v>0</v>
      </c>
      <c r="L30" s="961"/>
      <c r="M30" s="984"/>
    </row>
    <row r="31" spans="1:26" ht="5.25" customHeight="1" x14ac:dyDescent="0.2">
      <c r="A31" s="962"/>
      <c r="B31" s="963"/>
      <c r="C31" s="963"/>
      <c r="D31" s="964"/>
      <c r="E31" s="962"/>
      <c r="F31" s="962"/>
      <c r="G31" s="965"/>
      <c r="H31" s="965"/>
      <c r="I31" s="72"/>
      <c r="J31" s="72"/>
      <c r="K31" s="72"/>
      <c r="L31" s="72"/>
      <c r="M31" s="723"/>
    </row>
    <row r="32" spans="1:26" ht="6" customHeight="1" thickBot="1" x14ac:dyDescent="0.25">
      <c r="A32" s="962"/>
      <c r="B32" s="963"/>
      <c r="C32" s="963"/>
      <c r="D32" s="964"/>
      <c r="E32" s="962"/>
      <c r="F32" s="962"/>
      <c r="G32" s="965"/>
      <c r="H32" s="965"/>
      <c r="I32" s="72"/>
      <c r="J32" s="72"/>
      <c r="K32" s="72"/>
      <c r="L32" s="72"/>
      <c r="M32" s="723"/>
    </row>
    <row r="33" spans="1:13" ht="16.5" thickBot="1" x14ac:dyDescent="0.3">
      <c r="A33" s="911" t="s">
        <v>453</v>
      </c>
      <c r="B33" s="719"/>
      <c r="C33" s="719"/>
      <c r="D33" s="966"/>
      <c r="E33" s="1966" t="s">
        <v>430</v>
      </c>
      <c r="F33" s="1967"/>
      <c r="G33" s="1967"/>
      <c r="H33" s="1967"/>
      <c r="I33" s="1968" t="s">
        <v>432</v>
      </c>
      <c r="J33" s="1967"/>
      <c r="K33" s="1967"/>
      <c r="L33" s="1969"/>
      <c r="M33" s="723"/>
    </row>
    <row r="34" spans="1:13" ht="30.75" thickBot="1" x14ac:dyDescent="0.3">
      <c r="A34" s="720" t="s">
        <v>436</v>
      </c>
      <c r="B34" s="967" t="s">
        <v>454</v>
      </c>
      <c r="C34" s="968" t="s">
        <v>455</v>
      </c>
      <c r="D34" s="969" t="s">
        <v>456</v>
      </c>
      <c r="E34" s="913" t="s">
        <v>438</v>
      </c>
      <c r="F34" s="927" t="s">
        <v>439</v>
      </c>
      <c r="G34" s="931" t="s">
        <v>596</v>
      </c>
      <c r="H34" s="929" t="s">
        <v>597</v>
      </c>
      <c r="I34" s="721" t="s">
        <v>440</v>
      </c>
      <c r="J34" s="930" t="s">
        <v>441</v>
      </c>
      <c r="K34" s="931" t="s">
        <v>596</v>
      </c>
      <c r="L34" s="970" t="s">
        <v>597</v>
      </c>
      <c r="M34" s="985"/>
    </row>
    <row r="35" spans="1:13" s="723" customFormat="1" x14ac:dyDescent="0.2">
      <c r="A35" s="971"/>
      <c r="B35" s="1370" t="s">
        <v>457</v>
      </c>
      <c r="C35" s="1371"/>
      <c r="D35" s="1372" t="s">
        <v>457</v>
      </c>
      <c r="E35" s="948"/>
      <c r="F35" s="948"/>
      <c r="G35" s="935" t="str">
        <f>IF((E35=0)*AND(F35=0)," ",E35-F35)</f>
        <v xml:space="preserve"> </v>
      </c>
      <c r="H35" s="942"/>
      <c r="I35" s="937"/>
      <c r="J35" s="938"/>
      <c r="K35" s="935" t="str">
        <f>IF((I35=0)*AND(J35=0)," ",I35-J35)</f>
        <v xml:space="preserve"> </v>
      </c>
      <c r="L35" s="972"/>
      <c r="M35" s="986"/>
    </row>
    <row r="36" spans="1:13" s="723" customFormat="1" x14ac:dyDescent="0.2">
      <c r="A36" s="973"/>
      <c r="B36" s="1373" t="s">
        <v>457</v>
      </c>
      <c r="C36" s="1374"/>
      <c r="D36" s="1375" t="s">
        <v>457</v>
      </c>
      <c r="E36" s="948"/>
      <c r="F36" s="948"/>
      <c r="G36" s="935" t="str">
        <f>IF((E36=0)*AND(F36=0)," ",E36-F36)</f>
        <v xml:space="preserve"> </v>
      </c>
      <c r="H36" s="942"/>
      <c r="I36" s="943"/>
      <c r="J36" s="944"/>
      <c r="K36" s="935" t="str">
        <f>IF((I36=0)*AND(J36=0)," ",I36-J36)</f>
        <v xml:space="preserve"> </v>
      </c>
      <c r="L36" s="972"/>
      <c r="M36" s="986"/>
    </row>
    <row r="37" spans="1:13" s="723" customFormat="1" x14ac:dyDescent="0.2">
      <c r="A37" s="973"/>
      <c r="B37" s="1373" t="s">
        <v>457</v>
      </c>
      <c r="C37" s="1374"/>
      <c r="D37" s="1375" t="s">
        <v>457</v>
      </c>
      <c r="E37" s="948"/>
      <c r="F37" s="948"/>
      <c r="G37" s="935" t="str">
        <f>IF((E37=0)*AND(F37=0)," ",E37-F37)</f>
        <v xml:space="preserve"> </v>
      </c>
      <c r="H37" s="974"/>
      <c r="I37" s="943"/>
      <c r="J37" s="944"/>
      <c r="K37" s="935" t="str">
        <f>IF((I37=0)*AND(J37=0)," ",I37-J37)</f>
        <v xml:space="preserve"> </v>
      </c>
      <c r="L37" s="975"/>
      <c r="M37" s="986"/>
    </row>
    <row r="38" spans="1:13" s="723" customFormat="1" x14ac:dyDescent="0.2">
      <c r="A38" s="973"/>
      <c r="B38" s="1373" t="s">
        <v>457</v>
      </c>
      <c r="C38" s="1374"/>
      <c r="D38" s="1375" t="s">
        <v>457</v>
      </c>
      <c r="E38" s="948"/>
      <c r="F38" s="948"/>
      <c r="G38" s="935" t="str">
        <f>IF((E38=0)*AND(F38=0)," ",E38-F38)</f>
        <v xml:space="preserve"> </v>
      </c>
      <c r="H38" s="942"/>
      <c r="I38" s="943"/>
      <c r="J38" s="944"/>
      <c r="K38" s="935" t="str">
        <f>IF((I38=0)*AND(J38=0)," ",I38-J38)</f>
        <v xml:space="preserve"> </v>
      </c>
      <c r="L38" s="972"/>
      <c r="M38" s="986"/>
    </row>
    <row r="39" spans="1:13" s="723" customFormat="1" ht="13.5" thickBot="1" x14ac:dyDescent="0.25">
      <c r="A39" s="725"/>
      <c r="B39" s="1376" t="s">
        <v>457</v>
      </c>
      <c r="C39" s="1377"/>
      <c r="D39" s="1378" t="s">
        <v>457</v>
      </c>
      <c r="E39" s="948"/>
      <c r="F39" s="948"/>
      <c r="G39" s="935" t="str">
        <f>IF((E39=0)*AND(F39=0)," ",E39-F39)</f>
        <v xml:space="preserve"> </v>
      </c>
      <c r="H39" s="976"/>
      <c r="I39" s="943"/>
      <c r="J39" s="944"/>
      <c r="K39" s="935" t="str">
        <f>IF((I39=0)*AND(J39=0)," ",I39-J39)</f>
        <v xml:space="preserve"> </v>
      </c>
      <c r="L39" s="977"/>
      <c r="M39" s="986"/>
    </row>
    <row r="40" spans="1:13" ht="13.5" thickBot="1" x14ac:dyDescent="0.25">
      <c r="A40" s="1970" t="s">
        <v>386</v>
      </c>
      <c r="B40" s="1971"/>
      <c r="C40" s="1971"/>
      <c r="D40" s="1969"/>
      <c r="E40" s="959">
        <f>SUM(E35:E39)</f>
        <v>0</v>
      </c>
      <c r="F40" s="958">
        <f>SUM(F35:F39)</f>
        <v>0</v>
      </c>
      <c r="G40" s="958">
        <f>SUM(G35:G39)</f>
        <v>0</v>
      </c>
      <c r="H40" s="978"/>
      <c r="I40" s="722">
        <f>SUM(I35:I39)</f>
        <v>0</v>
      </c>
      <c r="J40" s="958">
        <f>SUM(J35:J39)</f>
        <v>0</v>
      </c>
      <c r="K40" s="958">
        <f>SUM(K35:K39)</f>
        <v>0</v>
      </c>
      <c r="L40" s="979"/>
      <c r="M40" s="984"/>
    </row>
    <row r="41" spans="1:13" x14ac:dyDescent="0.2">
      <c r="A41" s="1972" t="s">
        <v>196</v>
      </c>
      <c r="B41" s="1973"/>
      <c r="C41" s="1973"/>
      <c r="D41" s="1973"/>
      <c r="E41" s="1974"/>
      <c r="F41" s="962"/>
      <c r="G41" s="962"/>
      <c r="H41" s="962"/>
      <c r="I41" s="72"/>
      <c r="J41" s="72"/>
      <c r="K41" s="72"/>
      <c r="L41" s="72"/>
      <c r="M41" s="723"/>
    </row>
    <row r="42" spans="1:13" x14ac:dyDescent="0.2">
      <c r="A42" s="1975"/>
      <c r="B42" s="1973"/>
      <c r="C42" s="1973"/>
      <c r="D42" s="1973"/>
      <c r="E42" s="1974"/>
      <c r="F42" s="962"/>
      <c r="G42" s="962"/>
      <c r="H42" s="962"/>
      <c r="I42" s="72"/>
      <c r="J42" s="72"/>
      <c r="K42" s="72"/>
      <c r="L42" s="72"/>
      <c r="M42" s="723"/>
    </row>
    <row r="43" spans="1:13" x14ac:dyDescent="0.2">
      <c r="A43" s="1976"/>
      <c r="B43" s="1977"/>
      <c r="C43" s="1977"/>
      <c r="D43" s="1977"/>
      <c r="E43" s="1978"/>
      <c r="F43" s="962"/>
      <c r="G43" s="962"/>
      <c r="H43" s="962"/>
      <c r="I43" s="72"/>
      <c r="J43" s="72"/>
      <c r="K43" s="72"/>
      <c r="L43" s="72"/>
      <c r="M43" s="723"/>
    </row>
    <row r="44" spans="1:13" ht="10.5" customHeight="1" thickBot="1" x14ac:dyDescent="0.3">
      <c r="A44" s="988"/>
      <c r="B44" s="989"/>
      <c r="C44" s="989"/>
      <c r="D44" s="990"/>
      <c r="E44" s="991"/>
      <c r="F44" s="991"/>
      <c r="G44" s="991"/>
      <c r="H44" s="991"/>
      <c r="I44" s="991"/>
      <c r="J44" s="991"/>
      <c r="K44" s="991"/>
      <c r="L44" s="992"/>
      <c r="M44" s="723"/>
    </row>
    <row r="45" spans="1:13" ht="16.5" thickBot="1" x14ac:dyDescent="0.3">
      <c r="A45" s="980" t="s">
        <v>458</v>
      </c>
      <c r="B45" s="981"/>
      <c r="C45" s="981"/>
      <c r="D45" s="982"/>
      <c r="E45" s="1979" t="s">
        <v>430</v>
      </c>
      <c r="F45" s="1980"/>
      <c r="G45" s="1980"/>
      <c r="H45" s="1980"/>
      <c r="I45" s="1981" t="s">
        <v>432</v>
      </c>
      <c r="J45" s="1980"/>
      <c r="K45" s="1980"/>
      <c r="L45" s="1969"/>
      <c r="M45" s="723"/>
    </row>
    <row r="46" spans="1:13" ht="45.75" thickBot="1" x14ac:dyDescent="0.3">
      <c r="A46" s="720" t="s">
        <v>436</v>
      </c>
      <c r="B46" s="726" t="s">
        <v>459</v>
      </c>
      <c r="C46" s="726" t="s">
        <v>460</v>
      </c>
      <c r="D46" s="727" t="s">
        <v>461</v>
      </c>
      <c r="E46" s="913" t="s">
        <v>438</v>
      </c>
      <c r="F46" s="927" t="s">
        <v>439</v>
      </c>
      <c r="G46" s="931" t="s">
        <v>596</v>
      </c>
      <c r="H46" s="929" t="s">
        <v>597</v>
      </c>
      <c r="I46" s="721" t="s">
        <v>440</v>
      </c>
      <c r="J46" s="930" t="s">
        <v>441</v>
      </c>
      <c r="K46" s="931" t="s">
        <v>596</v>
      </c>
      <c r="L46" s="970" t="s">
        <v>597</v>
      </c>
      <c r="M46" s="985"/>
    </row>
    <row r="47" spans="1:13" s="723" customFormat="1" x14ac:dyDescent="0.2">
      <c r="A47" s="728"/>
      <c r="B47" s="724" t="s">
        <v>428</v>
      </c>
      <c r="C47" s="729"/>
      <c r="D47" s="730" t="s">
        <v>457</v>
      </c>
      <c r="E47" s="983"/>
      <c r="F47" s="948"/>
      <c r="G47" s="935" t="str">
        <f>IF((E47=0)*AND(F47=0)," ",E47-F47)</f>
        <v xml:space="preserve"> </v>
      </c>
      <c r="H47" s="942"/>
      <c r="I47" s="943"/>
      <c r="J47" s="944"/>
      <c r="K47" s="935" t="str">
        <f>IF((I47=0)*AND(J47=0)," ",I47-J47)</f>
        <v xml:space="preserve"> </v>
      </c>
      <c r="L47" s="972"/>
      <c r="M47" s="986"/>
    </row>
    <row r="48" spans="1:13" s="723" customFormat="1" x14ac:dyDescent="0.2">
      <c r="A48" s="728"/>
      <c r="B48" s="724" t="s">
        <v>428</v>
      </c>
      <c r="C48" s="729"/>
      <c r="D48" s="1379" t="s">
        <v>457</v>
      </c>
      <c r="E48" s="983"/>
      <c r="F48" s="948"/>
      <c r="G48" s="935" t="str">
        <f>IF((E48=0)*AND(F48=0)," ",E48-F48)</f>
        <v xml:space="preserve"> </v>
      </c>
      <c r="H48" s="942"/>
      <c r="I48" s="943"/>
      <c r="J48" s="944"/>
      <c r="K48" s="935" t="str">
        <f>IF((I48=0)*AND(J48=0)," ",I48-J48)</f>
        <v xml:space="preserve"> </v>
      </c>
      <c r="L48" s="972"/>
      <c r="M48" s="986"/>
    </row>
    <row r="49" spans="1:13" s="723" customFormat="1" x14ac:dyDescent="0.2">
      <c r="A49" s="728"/>
      <c r="B49" s="724" t="s">
        <v>428</v>
      </c>
      <c r="C49" s="729"/>
      <c r="D49" s="730" t="s">
        <v>457</v>
      </c>
      <c r="E49" s="983"/>
      <c r="F49" s="948"/>
      <c r="G49" s="935" t="str">
        <f>IF((E49=0)*AND(F49=0)," ",E49-F49)</f>
        <v xml:space="preserve"> </v>
      </c>
      <c r="H49" s="942"/>
      <c r="I49" s="943"/>
      <c r="J49" s="944"/>
      <c r="K49" s="935" t="str">
        <f>IF((I49=0)*AND(J49=0)," ",I49-J49)</f>
        <v xml:space="preserve"> </v>
      </c>
      <c r="L49" s="972"/>
      <c r="M49" s="986"/>
    </row>
    <row r="50" spans="1:13" s="723" customFormat="1" x14ac:dyDescent="0.2">
      <c r="A50" s="728"/>
      <c r="B50" s="724" t="s">
        <v>428</v>
      </c>
      <c r="C50" s="729"/>
      <c r="D50" s="730" t="s">
        <v>457</v>
      </c>
      <c r="E50" s="983"/>
      <c r="F50" s="948"/>
      <c r="G50" s="935" t="str">
        <f>IF((E50=0)*AND(F50=0)," ",E50-F50)</f>
        <v xml:space="preserve"> </v>
      </c>
      <c r="H50" s="942"/>
      <c r="I50" s="943"/>
      <c r="J50" s="944"/>
      <c r="K50" s="935" t="str">
        <f>IF((I50=0)*AND(J50=0)," ",I50-J50)</f>
        <v xml:space="preserve"> </v>
      </c>
      <c r="L50" s="972"/>
      <c r="M50" s="986"/>
    </row>
    <row r="51" spans="1:13" s="723" customFormat="1" ht="13.5" thickBot="1" x14ac:dyDescent="0.25">
      <c r="A51" s="725"/>
      <c r="B51" s="731" t="s">
        <v>428</v>
      </c>
      <c r="C51" s="732"/>
      <c r="D51" s="730" t="s">
        <v>457</v>
      </c>
      <c r="E51" s="983"/>
      <c r="F51" s="948"/>
      <c r="G51" s="935" t="str">
        <f>IF((E51=0)*AND(F51=0)," ",E51-F51)</f>
        <v xml:space="preserve"> </v>
      </c>
      <c r="H51" s="976"/>
      <c r="I51" s="943"/>
      <c r="J51" s="944"/>
      <c r="K51" s="935" t="str">
        <f>IF((I51=0)*AND(J51=0)," ",I51-J51)</f>
        <v xml:space="preserve"> </v>
      </c>
      <c r="L51" s="977"/>
      <c r="M51" s="986"/>
    </row>
    <row r="52" spans="1:13" ht="13.5" thickBot="1" x14ac:dyDescent="0.25">
      <c r="A52" s="733"/>
      <c r="B52" s="734"/>
      <c r="C52" s="734"/>
      <c r="D52" s="912" t="s">
        <v>386</v>
      </c>
      <c r="E52" s="959">
        <f>SUM(E47:E51)</f>
        <v>0</v>
      </c>
      <c r="F52" s="958">
        <f>SUM(F47:F51)</f>
        <v>0</v>
      </c>
      <c r="G52" s="958">
        <f>SUM(G47:G51)</f>
        <v>0</v>
      </c>
      <c r="H52" s="978"/>
      <c r="I52" s="722">
        <f>SUM(I47:I51)</f>
        <v>0</v>
      </c>
      <c r="J52" s="958">
        <f>SUM(J47:J51)</f>
        <v>0</v>
      </c>
      <c r="K52" s="958">
        <f>SUM(K47:K51)</f>
        <v>0</v>
      </c>
      <c r="L52" s="979"/>
      <c r="M52" s="984"/>
    </row>
    <row r="53" spans="1:13" x14ac:dyDescent="0.2">
      <c r="A53" s="1982" t="s">
        <v>197</v>
      </c>
      <c r="B53" s="1983"/>
      <c r="C53" s="1983"/>
      <c r="D53" s="1983"/>
      <c r="E53" s="1984"/>
      <c r="F53" s="962"/>
      <c r="G53" s="962"/>
      <c r="H53" s="962"/>
      <c r="I53" s="72"/>
      <c r="J53" s="72"/>
      <c r="K53" s="72"/>
      <c r="L53" s="72"/>
      <c r="M53" s="723"/>
    </row>
    <row r="54" spans="1:13" x14ac:dyDescent="0.2">
      <c r="A54" s="1985"/>
      <c r="B54" s="1983"/>
      <c r="C54" s="1983"/>
      <c r="D54" s="1983"/>
      <c r="E54" s="1984"/>
      <c r="F54" s="962"/>
      <c r="G54" s="962"/>
      <c r="H54" s="962"/>
      <c r="I54" s="72"/>
      <c r="J54" s="72"/>
      <c r="K54" s="72"/>
      <c r="L54" s="72"/>
      <c r="M54" s="723"/>
    </row>
    <row r="55" spans="1:13" x14ac:dyDescent="0.2">
      <c r="A55" s="1986"/>
      <c r="B55" s="1987"/>
      <c r="C55" s="1987"/>
      <c r="D55" s="1987"/>
      <c r="E55" s="1988"/>
      <c r="F55" s="962"/>
      <c r="G55" s="962"/>
      <c r="H55" s="962"/>
      <c r="I55" s="72"/>
      <c r="J55" s="72"/>
      <c r="K55" s="72"/>
      <c r="L55" s="72"/>
      <c r="M55" s="723"/>
    </row>
    <row r="56" spans="1:13" ht="7.5" customHeight="1" x14ac:dyDescent="0.2">
      <c r="A56" s="993"/>
      <c r="B56" s="994"/>
      <c r="C56" s="994"/>
      <c r="D56" s="994"/>
      <c r="E56" s="994"/>
      <c r="F56" s="962"/>
      <c r="G56" s="962"/>
      <c r="H56" s="962"/>
      <c r="I56" s="72"/>
      <c r="J56" s="72"/>
      <c r="K56" s="72"/>
      <c r="L56" s="72"/>
      <c r="M56" s="723"/>
    </row>
    <row r="57" spans="1:13" x14ac:dyDescent="0.2">
      <c r="A57" s="72" t="s">
        <v>198</v>
      </c>
      <c r="B57" s="963"/>
      <c r="C57" s="963"/>
      <c r="D57" s="964"/>
      <c r="E57" s="964"/>
      <c r="F57" s="962"/>
      <c r="G57" s="962"/>
      <c r="H57" s="962"/>
      <c r="I57" s="72"/>
      <c r="J57" s="72"/>
      <c r="K57" s="72"/>
      <c r="L57" s="72"/>
      <c r="M57" s="723"/>
    </row>
    <row r="58" spans="1:13" x14ac:dyDescent="0.2">
      <c r="A58" s="72" t="s">
        <v>462</v>
      </c>
      <c r="B58" s="72"/>
      <c r="C58" s="72"/>
      <c r="D58" s="72"/>
      <c r="E58" s="453"/>
      <c r="F58" s="919"/>
      <c r="G58" s="523"/>
      <c r="H58" s="72"/>
      <c r="I58" s="72"/>
      <c r="J58" s="72"/>
      <c r="K58" s="72"/>
      <c r="L58" s="72"/>
      <c r="M58" s="723"/>
    </row>
    <row r="59" spans="1:13" ht="6" customHeight="1" thickBot="1" x14ac:dyDescent="0.25">
      <c r="A59" s="995"/>
      <c r="B59" s="72"/>
      <c r="C59" s="453"/>
      <c r="D59" s="72"/>
      <c r="E59" s="453"/>
      <c r="F59" s="453"/>
      <c r="G59" s="919"/>
      <c r="H59" s="919"/>
      <c r="I59" s="91"/>
      <c r="J59" s="91"/>
      <c r="K59" s="91"/>
      <c r="L59" s="72"/>
      <c r="M59" s="723"/>
    </row>
    <row r="60" spans="1:13" ht="15.75" thickBot="1" x14ac:dyDescent="0.25">
      <c r="A60" s="1958" t="s">
        <v>463</v>
      </c>
      <c r="B60" s="1959"/>
      <c r="C60" s="1959"/>
      <c r="D60" s="1959"/>
      <c r="E60" s="1959"/>
      <c r="F60" s="1959"/>
      <c r="G60" s="1959"/>
      <c r="H60" s="1959"/>
      <c r="I60" s="1959"/>
      <c r="J60" s="1959"/>
      <c r="K60" s="1959"/>
      <c r="L60" s="1960"/>
      <c r="M60" s="723"/>
    </row>
    <row r="61" spans="1:13" ht="15.75" thickBot="1" x14ac:dyDescent="0.3">
      <c r="A61" s="1946" t="s">
        <v>464</v>
      </c>
      <c r="B61" s="1947"/>
      <c r="C61" s="1947"/>
      <c r="D61" s="1947"/>
      <c r="E61" s="1947"/>
      <c r="F61" s="1947"/>
      <c r="G61" s="1947"/>
      <c r="H61" s="1947"/>
      <c r="I61" s="1947"/>
      <c r="J61" s="1947"/>
      <c r="K61" s="1947"/>
      <c r="L61" s="1948"/>
      <c r="M61" s="723"/>
    </row>
    <row r="62" spans="1:13" ht="6.75" customHeight="1" x14ac:dyDescent="0.2">
      <c r="A62" s="1937"/>
      <c r="B62" s="1938"/>
      <c r="C62" s="1938"/>
      <c r="D62" s="1938"/>
      <c r="E62" s="1938"/>
      <c r="F62" s="1938"/>
      <c r="G62" s="1938"/>
      <c r="H62" s="1938"/>
      <c r="I62" s="1938"/>
      <c r="J62" s="1938"/>
      <c r="K62" s="1938"/>
      <c r="L62" s="1939"/>
      <c r="M62" s="987"/>
    </row>
    <row r="63" spans="1:13" ht="6.75" customHeight="1" x14ac:dyDescent="0.2">
      <c r="A63" s="1940"/>
      <c r="B63" s="1941"/>
      <c r="C63" s="1941"/>
      <c r="D63" s="1941"/>
      <c r="E63" s="1941"/>
      <c r="F63" s="1941"/>
      <c r="G63" s="1941"/>
      <c r="H63" s="1941"/>
      <c r="I63" s="1941"/>
      <c r="J63" s="1941"/>
      <c r="K63" s="1941"/>
      <c r="L63" s="1942"/>
      <c r="M63" s="987"/>
    </row>
    <row r="64" spans="1:13" ht="5.25" customHeight="1" x14ac:dyDescent="0.2">
      <c r="A64" s="1940"/>
      <c r="B64" s="1941"/>
      <c r="C64" s="1941"/>
      <c r="D64" s="1941"/>
      <c r="E64" s="1941"/>
      <c r="F64" s="1941"/>
      <c r="G64" s="1941"/>
      <c r="H64" s="1941"/>
      <c r="I64" s="1941"/>
      <c r="J64" s="1941"/>
      <c r="K64" s="1941"/>
      <c r="L64" s="1942"/>
      <c r="M64" s="987"/>
    </row>
    <row r="65" spans="1:13" ht="7.5" customHeight="1" x14ac:dyDescent="0.2">
      <c r="A65" s="1940"/>
      <c r="B65" s="1941"/>
      <c r="C65" s="1941"/>
      <c r="D65" s="1941"/>
      <c r="E65" s="1941"/>
      <c r="F65" s="1941"/>
      <c r="G65" s="1941"/>
      <c r="H65" s="1941"/>
      <c r="I65" s="1941"/>
      <c r="J65" s="1941"/>
      <c r="K65" s="1941"/>
      <c r="L65" s="1942"/>
      <c r="M65" s="987"/>
    </row>
    <row r="66" spans="1:13" ht="7.5" customHeight="1" thickBot="1" x14ac:dyDescent="0.25">
      <c r="A66" s="1943"/>
      <c r="B66" s="1944"/>
      <c r="C66" s="1944"/>
      <c r="D66" s="1944"/>
      <c r="E66" s="1944"/>
      <c r="F66" s="1944"/>
      <c r="G66" s="1944"/>
      <c r="H66" s="1944"/>
      <c r="I66" s="1944"/>
      <c r="J66" s="1944"/>
      <c r="K66" s="1944"/>
      <c r="L66" s="1945"/>
      <c r="M66" s="987"/>
    </row>
    <row r="67" spans="1:13" ht="9" customHeight="1" thickBot="1" x14ac:dyDescent="0.3">
      <c r="A67" s="996"/>
      <c r="B67" s="723"/>
      <c r="C67" s="997"/>
      <c r="D67" s="723"/>
      <c r="E67" s="997"/>
      <c r="F67" s="997"/>
      <c r="G67" s="998"/>
      <c r="H67" s="998"/>
      <c r="I67" s="723"/>
      <c r="J67" s="723"/>
      <c r="K67" s="723"/>
      <c r="L67" s="723"/>
      <c r="M67" s="723"/>
    </row>
    <row r="68" spans="1:13" ht="16.5" thickBot="1" x14ac:dyDescent="0.3">
      <c r="A68" s="1253" t="s">
        <v>201</v>
      </c>
      <c r="B68" s="1254"/>
      <c r="C68" s="1254"/>
      <c r="D68" s="1255"/>
      <c r="E68" s="1955" t="s">
        <v>432</v>
      </c>
      <c r="F68" s="1956"/>
      <c r="G68" s="1956"/>
      <c r="H68" s="1956"/>
      <c r="I68" s="1956"/>
      <c r="J68" s="1956"/>
      <c r="K68" s="1956"/>
      <c r="L68" s="1957"/>
    </row>
    <row r="69" spans="1:13" ht="45.75" thickBot="1" x14ac:dyDescent="0.3">
      <c r="A69" s="720" t="s">
        <v>436</v>
      </c>
      <c r="B69" s="726" t="s">
        <v>460</v>
      </c>
      <c r="C69" s="727" t="s">
        <v>461</v>
      </c>
      <c r="D69" s="721" t="s">
        <v>202</v>
      </c>
      <c r="E69" s="1934" t="s">
        <v>569</v>
      </c>
      <c r="F69" s="1935"/>
      <c r="G69" s="1935"/>
      <c r="H69" s="1935"/>
      <c r="I69" s="1935"/>
      <c r="J69" s="1935"/>
      <c r="K69" s="1936"/>
    </row>
    <row r="70" spans="1:13" s="723" customFormat="1" x14ac:dyDescent="0.2">
      <c r="A70" s="728"/>
      <c r="B70" s="729"/>
      <c r="C70" s="730" t="s">
        <v>457</v>
      </c>
      <c r="D70" s="1001"/>
      <c r="E70" s="1952"/>
      <c r="F70" s="1953"/>
      <c r="G70" s="1953"/>
      <c r="H70" s="1953"/>
      <c r="I70" s="1953"/>
      <c r="J70" s="1953"/>
      <c r="K70" s="1954"/>
    </row>
    <row r="71" spans="1:13" s="723" customFormat="1" x14ac:dyDescent="0.2">
      <c r="A71" s="728"/>
      <c r="B71" s="729"/>
      <c r="C71" s="730" t="s">
        <v>457</v>
      </c>
      <c r="D71" s="1001"/>
      <c r="E71" s="1949"/>
      <c r="F71" s="1950"/>
      <c r="G71" s="1950"/>
      <c r="H71" s="1950"/>
      <c r="I71" s="1950"/>
      <c r="J71" s="1950"/>
      <c r="K71" s="1951"/>
    </row>
    <row r="72" spans="1:13" s="723" customFormat="1" x14ac:dyDescent="0.2">
      <c r="A72" s="728"/>
      <c r="B72" s="729"/>
      <c r="C72" s="730" t="s">
        <v>457</v>
      </c>
      <c r="D72" s="1001"/>
      <c r="E72" s="1949"/>
      <c r="F72" s="1950"/>
      <c r="G72" s="1950"/>
      <c r="H72" s="1950"/>
      <c r="I72" s="1950"/>
      <c r="J72" s="1950"/>
      <c r="K72" s="1951"/>
    </row>
    <row r="73" spans="1:13" s="723" customFormat="1" x14ac:dyDescent="0.2">
      <c r="A73" s="728"/>
      <c r="B73" s="729"/>
      <c r="C73" s="730" t="s">
        <v>457</v>
      </c>
      <c r="D73" s="1001"/>
      <c r="E73" s="1949"/>
      <c r="F73" s="1950"/>
      <c r="G73" s="1950"/>
      <c r="H73" s="1950"/>
      <c r="I73" s="1950"/>
      <c r="J73" s="1950"/>
      <c r="K73" s="1951"/>
    </row>
    <row r="74" spans="1:13" s="723" customFormat="1" ht="13.5" thickBot="1" x14ac:dyDescent="0.25">
      <c r="A74" s="725"/>
      <c r="B74" s="732"/>
      <c r="C74" s="730" t="s">
        <v>457</v>
      </c>
      <c r="D74" s="1001"/>
      <c r="E74" s="1931"/>
      <c r="F74" s="1932"/>
      <c r="G74" s="1932"/>
      <c r="H74" s="1932"/>
      <c r="I74" s="1932"/>
      <c r="J74" s="1932"/>
      <c r="K74" s="1933"/>
    </row>
    <row r="75" spans="1:13" ht="13.5" thickBot="1" x14ac:dyDescent="0.25">
      <c r="A75" s="733"/>
      <c r="B75" s="734"/>
      <c r="C75" s="912" t="s">
        <v>386</v>
      </c>
      <c r="D75" s="722">
        <f>SUM(D70:D74)</f>
        <v>0</v>
      </c>
      <c r="E75" s="1002"/>
      <c r="F75" s="1003"/>
      <c r="G75" s="1003"/>
      <c r="H75" s="1003"/>
      <c r="I75" s="1003"/>
      <c r="J75" s="1003"/>
      <c r="K75" s="1003"/>
    </row>
  </sheetData>
  <sheetProtection password="92D1" sheet="1" objects="1" scenarios="1" insertRows="0" insertHyperlinks="0" deleteRows="0" selectLockedCells="1"/>
  <mergeCells count="65">
    <mergeCell ref="P23:Q23"/>
    <mergeCell ref="U23:V23"/>
    <mergeCell ref="U18:V18"/>
    <mergeCell ref="P20:Q20"/>
    <mergeCell ref="U20:V20"/>
    <mergeCell ref="P22:Q22"/>
    <mergeCell ref="U22:V22"/>
    <mergeCell ref="P21:Q21"/>
    <mergeCell ref="U21:V21"/>
    <mergeCell ref="P18:Q18"/>
    <mergeCell ref="P15:Q15"/>
    <mergeCell ref="U15:V15"/>
    <mergeCell ref="P16:Q16"/>
    <mergeCell ref="U16:V16"/>
    <mergeCell ref="P17:Q17"/>
    <mergeCell ref="U17:V17"/>
    <mergeCell ref="E8:E9"/>
    <mergeCell ref="I8:I9"/>
    <mergeCell ref="A8:B8"/>
    <mergeCell ref="B27:D27"/>
    <mergeCell ref="B23:D23"/>
    <mergeCell ref="B18:D18"/>
    <mergeCell ref="B20:D20"/>
    <mergeCell ref="E12:H13"/>
    <mergeCell ref="I15:L15"/>
    <mergeCell ref="B19:D19"/>
    <mergeCell ref="E15:H15"/>
    <mergeCell ref="B28:D28"/>
    <mergeCell ref="A5:B5"/>
    <mergeCell ref="C5:D5"/>
    <mergeCell ref="B24:D24"/>
    <mergeCell ref="B25:D25"/>
    <mergeCell ref="B26:D26"/>
    <mergeCell ref="B22:D22"/>
    <mergeCell ref="A6:B6"/>
    <mergeCell ref="C6:D6"/>
    <mergeCell ref="B21:D21"/>
    <mergeCell ref="B17:D17"/>
    <mergeCell ref="B16:C16"/>
    <mergeCell ref="A7:B7"/>
    <mergeCell ref="A1:F1"/>
    <mergeCell ref="A3:B3"/>
    <mergeCell ref="C3:D3"/>
    <mergeCell ref="F3:H4"/>
    <mergeCell ref="A4:B4"/>
    <mergeCell ref="C4:D4"/>
    <mergeCell ref="A60:L60"/>
    <mergeCell ref="B29:D29"/>
    <mergeCell ref="A30:C30"/>
    <mergeCell ref="E33:H33"/>
    <mergeCell ref="I33:L33"/>
    <mergeCell ref="A40:D40"/>
    <mergeCell ref="A41:E43"/>
    <mergeCell ref="E45:H45"/>
    <mergeCell ref="I45:L45"/>
    <mergeCell ref="A53:E55"/>
    <mergeCell ref="E74:K74"/>
    <mergeCell ref="E69:K69"/>
    <mergeCell ref="A62:L66"/>
    <mergeCell ref="A61:L61"/>
    <mergeCell ref="E73:K73"/>
    <mergeCell ref="E70:K70"/>
    <mergeCell ref="E68:L68"/>
    <mergeCell ref="E71:K71"/>
    <mergeCell ref="E72:K72"/>
  </mergeCells>
  <phoneticPr fontId="0" type="noConversion"/>
  <conditionalFormatting sqref="E52 E40">
    <cfRule type="cellIs" dxfId="120" priority="11" stopIfTrue="1" operator="notEqual">
      <formula>$E$30</formula>
    </cfRule>
    <cfRule type="cellIs" dxfId="119" priority="12" stopIfTrue="1" operator="notEqual">
      <formula>$E$52</formula>
    </cfRule>
  </conditionalFormatting>
  <conditionalFormatting sqref="F40 F52">
    <cfRule type="cellIs" dxfId="118" priority="13" stopIfTrue="1" operator="notEqual">
      <formula>$F$30</formula>
    </cfRule>
    <cfRule type="cellIs" dxfId="117" priority="14" stopIfTrue="1" operator="notEqual">
      <formula>$F$52</formula>
    </cfRule>
  </conditionalFormatting>
  <conditionalFormatting sqref="I52 I40">
    <cfRule type="cellIs" dxfId="116" priority="15" stopIfTrue="1" operator="notEqual">
      <formula>$I$30</formula>
    </cfRule>
    <cfRule type="cellIs" dxfId="115" priority="16" stopIfTrue="1" operator="notEqual">
      <formula>$I$52</formula>
    </cfRule>
  </conditionalFormatting>
  <conditionalFormatting sqref="J40">
    <cfRule type="cellIs" dxfId="114" priority="17" stopIfTrue="1" operator="notEqual">
      <formula>$J$30</formula>
    </cfRule>
    <cfRule type="cellIs" dxfId="113" priority="18" stopIfTrue="1" operator="notEqual">
      <formula>$J$52</formula>
    </cfRule>
  </conditionalFormatting>
  <conditionalFormatting sqref="E30">
    <cfRule type="cellIs" dxfId="112" priority="19" stopIfTrue="1" operator="notEqual">
      <formula>$E$40</formula>
    </cfRule>
    <cfRule type="cellIs" dxfId="111" priority="20" stopIfTrue="1" operator="notEqual">
      <formula>$E$52</formula>
    </cfRule>
  </conditionalFormatting>
  <conditionalFormatting sqref="F30">
    <cfRule type="cellIs" dxfId="110" priority="21" stopIfTrue="1" operator="notEqual">
      <formula>$F$40</formula>
    </cfRule>
    <cfRule type="cellIs" dxfId="109" priority="22" stopIfTrue="1" operator="notEqual">
      <formula>$F$52</formula>
    </cfRule>
  </conditionalFormatting>
  <conditionalFormatting sqref="I30">
    <cfRule type="cellIs" dxfId="108" priority="23" stopIfTrue="1" operator="notEqual">
      <formula>$I$40</formula>
    </cfRule>
    <cfRule type="cellIs" dxfId="107" priority="24" stopIfTrue="1" operator="notEqual">
      <formula>$I$52</formula>
    </cfRule>
  </conditionalFormatting>
  <conditionalFormatting sqref="J30">
    <cfRule type="cellIs" dxfId="106" priority="25" stopIfTrue="1" operator="notEqual">
      <formula>$J$40</formula>
    </cfRule>
    <cfRule type="cellIs" dxfId="105" priority="26" stopIfTrue="1" operator="notEqual">
      <formula>$J$52</formula>
    </cfRule>
  </conditionalFormatting>
  <conditionalFormatting sqref="G9">
    <cfRule type="cellIs" dxfId="104" priority="27" stopIfTrue="1" operator="notEqual">
      <formula>$K$9</formula>
    </cfRule>
  </conditionalFormatting>
  <conditionalFormatting sqref="K9">
    <cfRule type="cellIs" dxfId="103" priority="28" stopIfTrue="1" operator="notEqual">
      <formula>$G$9</formula>
    </cfRule>
  </conditionalFormatting>
  <conditionalFormatting sqref="G8">
    <cfRule type="cellIs" dxfId="102" priority="29" stopIfTrue="1" operator="lessThan">
      <formula>$K$8</formula>
    </cfRule>
  </conditionalFormatting>
  <conditionalFormatting sqref="K8">
    <cfRule type="cellIs" dxfId="101" priority="30" stopIfTrue="1" operator="greaterThan">
      <formula>$G$8</formula>
    </cfRule>
  </conditionalFormatting>
  <conditionalFormatting sqref="J52">
    <cfRule type="cellIs" dxfId="100" priority="31" stopIfTrue="1" operator="notEqual">
      <formula>$J$30</formula>
    </cfRule>
    <cfRule type="cellIs" dxfId="99" priority="32" stopIfTrue="1" operator="notEqual">
      <formula>$J$40</formula>
    </cfRule>
  </conditionalFormatting>
  <conditionalFormatting sqref="K52">
    <cfRule type="cellIs" dxfId="98" priority="33" stopIfTrue="1" operator="notEqual">
      <formula>$K$30</formula>
    </cfRule>
    <cfRule type="cellIs" dxfId="97" priority="34" stopIfTrue="1" operator="notEqual">
      <formula>$K$40</formula>
    </cfRule>
  </conditionalFormatting>
  <conditionalFormatting sqref="K40">
    <cfRule type="cellIs" dxfId="96" priority="35" stopIfTrue="1" operator="notEqual">
      <formula>$K$30</formula>
    </cfRule>
    <cfRule type="cellIs" dxfId="95" priority="36" stopIfTrue="1" operator="notEqual">
      <formula>$K$52</formula>
    </cfRule>
  </conditionalFormatting>
  <conditionalFormatting sqref="K30">
    <cfRule type="cellIs" dxfId="94" priority="37" stopIfTrue="1" operator="notEqual">
      <formula>$K$40</formula>
    </cfRule>
    <cfRule type="cellIs" dxfId="93" priority="38" stopIfTrue="1" operator="notEqual">
      <formula>$K$52</formula>
    </cfRule>
  </conditionalFormatting>
  <conditionalFormatting sqref="G30">
    <cfRule type="cellIs" dxfId="92" priority="39" stopIfTrue="1" operator="notEqual">
      <formula>$G$40</formula>
    </cfRule>
    <cfRule type="cellIs" dxfId="91" priority="40" stopIfTrue="1" operator="notEqual">
      <formula>$G$52</formula>
    </cfRule>
  </conditionalFormatting>
  <conditionalFormatting sqref="G40 G52">
    <cfRule type="cellIs" dxfId="90" priority="41" stopIfTrue="1" operator="notEqual">
      <formula>$G$30</formula>
    </cfRule>
    <cfRule type="cellIs" dxfId="89" priority="42" stopIfTrue="1" operator="notEqual">
      <formula>$G$52</formula>
    </cfRule>
  </conditionalFormatting>
  <conditionalFormatting sqref="I30">
    <cfRule type="cellIs" dxfId="88" priority="5" operator="notEqual">
      <formula>$W$16</formula>
    </cfRule>
  </conditionalFormatting>
  <conditionalFormatting sqref="I20">
    <cfRule type="cellIs" dxfId="87" priority="9" operator="notEqual">
      <formula>$W$23</formula>
    </cfRule>
  </conditionalFormatting>
  <conditionalFormatting sqref="J20">
    <cfRule type="cellIs" dxfId="86" priority="8" operator="notEqual">
      <formula>$X$23</formula>
    </cfRule>
  </conditionalFormatting>
  <conditionalFormatting sqref="I21">
    <cfRule type="cellIs" dxfId="85" priority="7" operator="notEqual">
      <formula>$W$22</formula>
    </cfRule>
  </conditionalFormatting>
  <conditionalFormatting sqref="J21">
    <cfRule type="cellIs" dxfId="84" priority="6" operator="notEqual">
      <formula>$X$22</formula>
    </cfRule>
  </conditionalFormatting>
  <conditionalFormatting sqref="T19:T20 Y19 Z21:Z23 U20:U21 R17:S18 R21:S23 W17:X18 W21:X23">
    <cfRule type="cellIs" dxfId="83" priority="2" stopIfTrue="1" operator="lessThan">
      <formula>0</formula>
    </cfRule>
  </conditionalFormatting>
  <conditionalFormatting sqref="T19:T20 Y19:Y20 U20:U21 W21:W23 Z21:Z23 X22:X23">
    <cfRule type="cellIs" dxfId="82" priority="1" stopIfTrue="1" operator="lessThan">
      <formula>0</formula>
    </cfRule>
  </conditionalFormatting>
  <dataValidations count="11">
    <dataValidation type="decimal" allowBlank="1" showInputMessage="1" showErrorMessage="1" sqref="I17:J29">
      <formula1>-10000000000000</formula1>
      <formula2>990000000000000</formula2>
    </dataValidation>
    <dataValidation type="decimal" allowBlank="1" showInputMessage="1" showErrorMessage="1" sqref="E35:F39">
      <formula1>-100000000000</formula1>
      <formula2>99999999999999.9</formula2>
    </dataValidation>
    <dataValidation type="decimal" allowBlank="1" showInputMessage="1" showErrorMessage="1" sqref="E17:F29">
      <formula1>-1000000000000</formula1>
      <formula2>99999999999999.9</formula2>
    </dataValidation>
    <dataValidation type="list" allowBlank="1" showErrorMessage="1" errorTitle="Invalid Data" error="You must select a category from the list only." promptTitle="Please Select" sqref="B35:B39">
      <formula1>ListHIV</formula1>
    </dataValidation>
    <dataValidation type="list" allowBlank="1" showInputMessage="1" showErrorMessage="1" sqref="C6:D6 A7">
      <formula1>"Please Select …,USD,EURO"</formula1>
    </dataValidation>
    <dataValidation type="date" allowBlank="1" showInputMessage="1" sqref="G8:H9 K8:K9">
      <formula1>34700</formula1>
      <formula2>127472</formula2>
    </dataValidation>
    <dataValidation type="decimal" allowBlank="1" showInputMessage="1" showErrorMessage="1" sqref="I35:J39 I47:J51 D70:D74">
      <formula1>-1000000000000000</formula1>
      <formula2>99999999999999900</formula2>
    </dataValidation>
    <dataValidation type="decimal" allowBlank="1" showInputMessage="1" showErrorMessage="1" sqref="E47:F51">
      <formula1>-1000000000000</formula1>
      <formula2>99000000000000.9</formula2>
    </dataValidation>
    <dataValidation type="list" allowBlank="1" showErrorMessage="1" errorTitle="Invalid Data" error="You must select from the list only." sqref="B47:B51">
      <formula1>"Please Select …,PR,SR"</formula1>
    </dataValidation>
    <dataValidation type="list" allowBlank="1" showInputMessage="1" showErrorMessage="1" sqref="D47:D51 C70:C74">
      <formula1>List_IE</formula1>
    </dataValidation>
    <dataValidation type="list" allowBlank="1" showInputMessage="1" showErrorMessage="1" sqref="D35:D39">
      <formula1>HIVSDA</formula1>
    </dataValidation>
  </dataValidations>
  <pageMargins left="0.70866141732283472" right="0.70866141732283472" top="0.74803149606299213" bottom="0.74803149606299213" header="0.31496062992125984" footer="0.31496062992125984"/>
  <pageSetup paperSize="8" scale="45"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pageSetUpPr fitToPage="1"/>
  </sheetPr>
  <dimension ref="A1:L19"/>
  <sheetViews>
    <sheetView showGridLines="0" view="pageBreakPreview" zoomScale="70" zoomScaleNormal="75" zoomScaleSheetLayoutView="70" zoomScalePageLayoutView="75" workbookViewId="0">
      <selection activeCell="G11" sqref="G11:J11"/>
    </sheetView>
  </sheetViews>
  <sheetFormatPr defaultRowHeight="12.75" x14ac:dyDescent="0.2"/>
  <cols>
    <col min="1" max="1" width="15" style="72" customWidth="1"/>
    <col min="2" max="2" width="45.42578125" style="72" customWidth="1"/>
    <col min="3" max="3" width="19.28515625" style="72" customWidth="1"/>
    <col min="4" max="4" width="23.28515625" style="72" customWidth="1"/>
    <col min="5" max="5" width="19.28515625" style="72" customWidth="1"/>
    <col min="6" max="6" width="17.140625" style="72" customWidth="1"/>
    <col min="7" max="7" width="25.85546875" style="72" customWidth="1"/>
    <col min="8" max="8" width="20" style="538" customWidth="1"/>
    <col min="9" max="9" width="19.28515625" style="72" customWidth="1"/>
    <col min="10" max="10" width="30" style="72" customWidth="1"/>
    <col min="11" max="11" width="5.7109375" style="72" customWidth="1"/>
    <col min="12" max="12" width="3.5703125" style="72" customWidth="1"/>
    <col min="13" max="16384" width="9.140625" style="72"/>
  </cols>
  <sheetData>
    <row r="1" spans="1:12" ht="25.5" customHeight="1" x14ac:dyDescent="0.35">
      <c r="A1" s="1916" t="s">
        <v>410</v>
      </c>
      <c r="B1" s="1916"/>
      <c r="C1" s="1916"/>
      <c r="D1" s="1916"/>
      <c r="E1" s="1916"/>
      <c r="F1" s="1916"/>
      <c r="G1" s="1916"/>
      <c r="H1" s="1"/>
      <c r="I1" s="3"/>
      <c r="J1" s="3"/>
    </row>
    <row r="2" spans="1:12" s="63" customFormat="1" ht="27" customHeight="1" thickBot="1" x14ac:dyDescent="0.3">
      <c r="A2" s="98" t="s">
        <v>504</v>
      </c>
      <c r="B2" s="10"/>
      <c r="C2" s="10"/>
      <c r="D2" s="36"/>
      <c r="E2" s="10"/>
      <c r="F2" s="10"/>
      <c r="G2" s="3"/>
      <c r="H2" s="11"/>
      <c r="I2" s="12"/>
      <c r="J2" s="12"/>
    </row>
    <row r="3" spans="1:12" s="73" customFormat="1" ht="28.5" customHeight="1" thickBot="1" x14ac:dyDescent="0.25">
      <c r="A3" s="1742" t="s">
        <v>419</v>
      </c>
      <c r="B3" s="1801"/>
      <c r="C3" s="1743"/>
      <c r="D3" s="1803" t="str">
        <f>IF('PR_Programmatic Progress_1A'!C7="","",'PR_Programmatic Progress_1A'!C7)</f>
        <v>BTN-607-G03-H</v>
      </c>
      <c r="E3" s="1804"/>
      <c r="F3" s="1804"/>
      <c r="G3" s="1805"/>
      <c r="H3" s="4"/>
      <c r="I3" s="4"/>
      <c r="J3" s="4"/>
    </row>
    <row r="4" spans="1:12" s="73" customFormat="1" ht="15" customHeight="1" x14ac:dyDescent="0.2">
      <c r="A4" s="492" t="s">
        <v>621</v>
      </c>
      <c r="B4" s="512"/>
      <c r="C4" s="512"/>
      <c r="D4" s="53" t="s">
        <v>627</v>
      </c>
      <c r="E4" s="504" t="str">
        <f>IF('PR_Programmatic Progress_1A'!D12="Select","",'PR_Programmatic Progress_1A'!D12)</f>
        <v>Quarter</v>
      </c>
      <c r="F4" s="5" t="s">
        <v>628</v>
      </c>
      <c r="G4" s="47">
        <f>IF('PR_Programmatic Progress_1A'!F12="Select","",'PR_Programmatic Progress_1A'!F12)</f>
        <v>17</v>
      </c>
      <c r="H4" s="4"/>
      <c r="I4" s="4"/>
      <c r="J4" s="4"/>
    </row>
    <row r="5" spans="1:12" s="73" customFormat="1" ht="15" customHeight="1" x14ac:dyDescent="0.2">
      <c r="A5" s="513" t="s">
        <v>622</v>
      </c>
      <c r="B5" s="40"/>
      <c r="C5" s="40"/>
      <c r="D5" s="54" t="s">
        <v>590</v>
      </c>
      <c r="E5" s="519">
        <f>IF('PR_Programmatic Progress_1A'!D13="","",'PR_Programmatic Progress_1A'!D13)</f>
        <v>40940</v>
      </c>
      <c r="F5" s="5" t="s">
        <v>608</v>
      </c>
      <c r="G5" s="520">
        <f>IF('PR_Programmatic Progress_1A'!F13="","",'PR_Programmatic Progress_1A'!F13)</f>
        <v>41029</v>
      </c>
      <c r="H5" s="4"/>
      <c r="I5" s="4"/>
      <c r="J5" s="4"/>
    </row>
    <row r="6" spans="1:12" s="73" customFormat="1" ht="15" customHeight="1" thickBot="1" x14ac:dyDescent="0.25">
      <c r="A6" s="55" t="s">
        <v>623</v>
      </c>
      <c r="B6" s="167"/>
      <c r="C6" s="41"/>
      <c r="D6" s="1816">
        <f>IF('PR_Programmatic Progress_1A'!C14="Select","",'PR_Programmatic Progress_1A'!C14)</f>
        <v>17</v>
      </c>
      <c r="E6" s="1817"/>
      <c r="F6" s="1817"/>
      <c r="G6" s="1818"/>
      <c r="H6" s="4"/>
      <c r="I6" s="4"/>
      <c r="J6" s="4"/>
    </row>
    <row r="7" spans="1:12" s="63" customFormat="1" ht="15.75" customHeight="1" x14ac:dyDescent="0.2">
      <c r="A7" s="10"/>
      <c r="B7" s="10"/>
      <c r="C7" s="10"/>
      <c r="D7" s="36"/>
      <c r="E7" s="10"/>
      <c r="F7" s="12"/>
      <c r="G7" s="11"/>
      <c r="H7" s="10"/>
      <c r="I7" s="12"/>
      <c r="J7" s="13"/>
    </row>
    <row r="8" spans="1:12" s="753" customFormat="1" ht="27" customHeight="1" thickBot="1" x14ac:dyDescent="0.25">
      <c r="A8" s="2045" t="s">
        <v>209</v>
      </c>
      <c r="B8" s="2045"/>
      <c r="C8" s="2045"/>
      <c r="D8" s="2045"/>
      <c r="E8" s="2045"/>
      <c r="F8" s="2045"/>
      <c r="G8" s="2045"/>
      <c r="H8" s="2045"/>
      <c r="I8" s="2045"/>
      <c r="J8" s="2045"/>
    </row>
    <row r="9" spans="1:12" s="63" customFormat="1" ht="34.5" customHeight="1" thickBot="1" x14ac:dyDescent="0.25">
      <c r="A9" s="400"/>
      <c r="B9" s="401"/>
      <c r="C9" s="547"/>
      <c r="D9" s="547"/>
      <c r="E9" s="402"/>
      <c r="F9" s="548"/>
      <c r="G9" s="2042" t="s">
        <v>569</v>
      </c>
      <c r="H9" s="2043"/>
      <c r="I9" s="2043"/>
      <c r="J9" s="2044"/>
      <c r="K9" s="14"/>
    </row>
    <row r="10" spans="1:12" s="63" customFormat="1" ht="161.25" customHeight="1" x14ac:dyDescent="0.2">
      <c r="A10" s="2033" t="s">
        <v>337</v>
      </c>
      <c r="B10" s="2034"/>
      <c r="C10" s="2034"/>
      <c r="D10" s="2034"/>
      <c r="E10" s="2034"/>
      <c r="F10" s="398" t="s">
        <v>366</v>
      </c>
      <c r="G10" s="2035" t="s">
        <v>715</v>
      </c>
      <c r="H10" s="2035"/>
      <c r="I10" s="2035"/>
      <c r="J10" s="2036"/>
      <c r="K10" s="14"/>
      <c r="L10" s="14"/>
    </row>
    <row r="11" spans="1:12" ht="194.25" customHeight="1" thickBot="1" x14ac:dyDescent="0.25">
      <c r="A11" s="2037" t="s">
        <v>338</v>
      </c>
      <c r="B11" s="2038"/>
      <c r="C11" s="2038"/>
      <c r="D11" s="2038"/>
      <c r="E11" s="2038"/>
      <c r="F11" s="403" t="s">
        <v>366</v>
      </c>
      <c r="G11" s="2039" t="s">
        <v>719</v>
      </c>
      <c r="H11" s="2039"/>
      <c r="I11" s="2039"/>
      <c r="J11" s="2040"/>
    </row>
    <row r="12" spans="1:12" s="63" customFormat="1" ht="21.75" customHeight="1" x14ac:dyDescent="0.2">
      <c r="A12" s="168"/>
      <c r="B12" s="549"/>
      <c r="C12" s="549"/>
      <c r="D12" s="549"/>
      <c r="E12" s="550"/>
      <c r="F12" s="551"/>
      <c r="G12" s="174"/>
      <c r="H12" s="186"/>
      <c r="I12" s="185"/>
      <c r="J12" s="527"/>
      <c r="K12" s="14"/>
      <c r="L12" s="14"/>
    </row>
    <row r="13" spans="1:12" ht="15.75" thickBot="1" x14ac:dyDescent="0.3">
      <c r="A13" s="2041" t="s">
        <v>580</v>
      </c>
      <c r="B13" s="2041"/>
      <c r="C13" s="2041"/>
      <c r="D13" s="2041"/>
      <c r="E13" s="2041"/>
      <c r="F13" s="2041"/>
      <c r="G13" s="2041"/>
      <c r="H13" s="2041"/>
      <c r="I13" s="2041"/>
      <c r="J13" s="2041"/>
    </row>
    <row r="14" spans="1:12" ht="139.5" customHeight="1" thickBot="1" x14ac:dyDescent="0.25">
      <c r="A14" s="2030" t="s">
        <v>720</v>
      </c>
      <c r="B14" s="2031"/>
      <c r="C14" s="2031"/>
      <c r="D14" s="2031"/>
      <c r="E14" s="2031"/>
      <c r="F14" s="2031"/>
      <c r="G14" s="2031"/>
      <c r="H14" s="2031"/>
      <c r="I14" s="2031"/>
      <c r="J14" s="2032"/>
    </row>
    <row r="15" spans="1:12" ht="17.25" customHeight="1" x14ac:dyDescent="0.2">
      <c r="A15" s="552"/>
      <c r="B15" s="552"/>
      <c r="C15" s="552"/>
      <c r="D15" s="552"/>
      <c r="E15" s="552"/>
      <c r="F15" s="552"/>
      <c r="G15" s="3"/>
      <c r="H15" s="16"/>
      <c r="I15" s="3"/>
      <c r="J15" s="3"/>
    </row>
    <row r="18" spans="2:2" x14ac:dyDescent="0.2">
      <c r="B18" s="755"/>
    </row>
    <row r="19" spans="2:2" ht="18" customHeight="1" x14ac:dyDescent="0.2"/>
  </sheetData>
  <sheetProtection password="92D1" sheet="1" formatCells="0" formatColumns="0" formatRows="0"/>
  <mergeCells count="12">
    <mergeCell ref="G9:J9"/>
    <mergeCell ref="A1:G1"/>
    <mergeCell ref="A3:C3"/>
    <mergeCell ref="D3:G3"/>
    <mergeCell ref="D6:G6"/>
    <mergeCell ref="A8:J8"/>
    <mergeCell ref="A14:J14"/>
    <mergeCell ref="A10:E10"/>
    <mergeCell ref="G10:J10"/>
    <mergeCell ref="A11:E11"/>
    <mergeCell ref="G11:J11"/>
    <mergeCell ref="A13:J13"/>
  </mergeCells>
  <phoneticPr fontId="37" type="noConversion"/>
  <conditionalFormatting sqref="E9">
    <cfRule type="cellIs" dxfId="81" priority="1" stopIfTrue="1" operator="lessThan">
      <formula>0</formula>
    </cfRule>
  </conditionalFormatting>
  <dataValidations count="3">
    <dataValidation type="list" allowBlank="1" showInputMessage="1" showErrorMessage="1" sqref="F15 F10:F12">
      <formula1>"Select,Yes,No,N/A"</formula1>
    </dataValidation>
    <dataValidation type="list" allowBlank="1" showInputMessage="1" showErrorMessage="1" sqref="C2:F2">
      <formula1>"Select,USD,EUR"</formula1>
    </dataValidation>
    <dataValidation allowBlank="1" showInputMessage="1" sqref="F9"/>
  </dataValidations>
  <printOptions horizontalCentered="1"/>
  <pageMargins left="0.74803149606299213" right="0.74803149606299213" top="0.59055118110236227" bottom="0.59055118110236227" header="0.51181102362204722" footer="0.51181102362204722"/>
  <pageSetup paperSize="9" scale="54" fitToHeight="0" orientation="landscape" cellComments="asDisplayed" r:id="rId1"/>
  <headerFooter alignWithMargins="0">
    <oddFooter>&amp;L&amp;9&amp;F&amp;C&amp;A&amp;R&amp;9Page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M35"/>
  <sheetViews>
    <sheetView view="pageBreakPreview" zoomScale="70" zoomScaleNormal="75" zoomScaleSheetLayoutView="70" workbookViewId="0">
      <selection activeCell="F36" sqref="F36"/>
    </sheetView>
  </sheetViews>
  <sheetFormatPr defaultRowHeight="12.75" x14ac:dyDescent="0.2"/>
  <cols>
    <col min="1" max="1" width="14.85546875" style="69" customWidth="1"/>
    <col min="2" max="2" width="19.85546875" style="69" customWidth="1"/>
    <col min="3" max="3" width="17.42578125" style="69" customWidth="1"/>
    <col min="4" max="4" width="19.42578125" style="69" customWidth="1"/>
    <col min="5" max="5" width="14.85546875" style="69" customWidth="1"/>
    <col min="6" max="6" width="19.28515625" style="69" customWidth="1"/>
    <col min="7" max="7" width="16.85546875" style="69" customWidth="1"/>
    <col min="8" max="8" width="30.28515625" style="69" customWidth="1"/>
    <col min="9" max="9" width="20.7109375" style="69" customWidth="1"/>
    <col min="10" max="10" width="3.42578125" style="69" customWidth="1"/>
    <col min="11" max="11" width="20.7109375" style="69" customWidth="1"/>
    <col min="12" max="12" width="8.140625" style="69" customWidth="1"/>
    <col min="13" max="13" width="16" style="69" customWidth="1"/>
    <col min="14" max="16384" width="9.140625" style="69"/>
  </cols>
  <sheetData>
    <row r="1" spans="1:13" ht="25.5" customHeight="1" x14ac:dyDescent="0.4">
      <c r="A1" s="2052" t="s">
        <v>410</v>
      </c>
      <c r="B1" s="2052"/>
      <c r="C1" s="2052"/>
      <c r="D1" s="2052"/>
      <c r="E1" s="2052"/>
      <c r="F1" s="2052"/>
      <c r="G1" s="2052"/>
      <c r="H1" s="2052"/>
      <c r="I1" s="297"/>
      <c r="J1" s="286"/>
      <c r="K1" s="300"/>
      <c r="L1" s="301"/>
      <c r="M1" s="553"/>
    </row>
    <row r="2" spans="1:13" s="14" customFormat="1" ht="27" customHeight="1" thickBot="1" x14ac:dyDescent="0.3">
      <c r="A2" s="98" t="s">
        <v>505</v>
      </c>
      <c r="B2" s="10"/>
      <c r="C2" s="10"/>
      <c r="D2" s="283"/>
      <c r="E2" s="284"/>
      <c r="F2" s="284"/>
      <c r="G2" s="10"/>
      <c r="H2" s="285"/>
      <c r="I2" s="298"/>
      <c r="J2" s="302"/>
      <c r="K2" s="302"/>
      <c r="L2" s="302"/>
      <c r="M2" s="1201"/>
    </row>
    <row r="3" spans="1:13" s="220" customFormat="1" ht="28.5" customHeight="1" thickBot="1" x14ac:dyDescent="0.25">
      <c r="A3" s="1742" t="s">
        <v>419</v>
      </c>
      <c r="B3" s="1801"/>
      <c r="C3" s="1743"/>
      <c r="D3" s="1803" t="str">
        <f>IF('PR_Programmatic Progress_1A'!C7="","",'PR_Programmatic Progress_1A'!C7)</f>
        <v>BTN-607-G03-H</v>
      </c>
      <c r="E3" s="1804"/>
      <c r="F3" s="1804"/>
      <c r="G3" s="1805"/>
      <c r="H3" s="2061" t="s">
        <v>639</v>
      </c>
      <c r="I3" s="2062"/>
      <c r="J3" s="2062"/>
      <c r="K3" s="2062"/>
      <c r="L3" s="2063"/>
      <c r="M3" s="197"/>
    </row>
    <row r="4" spans="1:13" s="220" customFormat="1" ht="15" customHeight="1" x14ac:dyDescent="0.2">
      <c r="A4" s="492" t="s">
        <v>621</v>
      </c>
      <c r="B4" s="512"/>
      <c r="C4" s="512"/>
      <c r="D4" s="53" t="s">
        <v>627</v>
      </c>
      <c r="E4" s="504" t="str">
        <f>IF('PR_Programmatic Progress_1A'!D12="Select","",'PR_Programmatic Progress_1A'!D12)</f>
        <v>Quarter</v>
      </c>
      <c r="F4" s="5" t="s">
        <v>628</v>
      </c>
      <c r="G4" s="47">
        <f>IF('PR_Programmatic Progress_1A'!F12="Select","",'PR_Programmatic Progress_1A'!F12)</f>
        <v>17</v>
      </c>
      <c r="H4" s="2064"/>
      <c r="I4" s="2065"/>
      <c r="J4" s="2065"/>
      <c r="K4" s="2065"/>
      <c r="L4" s="2066"/>
      <c r="M4" s="197"/>
    </row>
    <row r="5" spans="1:13" s="220" customFormat="1" ht="15" customHeight="1" x14ac:dyDescent="0.2">
      <c r="A5" s="513" t="s">
        <v>622</v>
      </c>
      <c r="B5" s="40"/>
      <c r="C5" s="40"/>
      <c r="D5" s="54" t="s">
        <v>590</v>
      </c>
      <c r="E5" s="519">
        <f>IF('PR_Programmatic Progress_1A'!D13="","",'PR_Programmatic Progress_1A'!D13)</f>
        <v>40940</v>
      </c>
      <c r="F5" s="5" t="s">
        <v>608</v>
      </c>
      <c r="G5" s="520">
        <f>IF('PR_Programmatic Progress_1A'!F13="","",'PR_Programmatic Progress_1A'!F13)</f>
        <v>41029</v>
      </c>
      <c r="H5" s="2067"/>
      <c r="I5" s="2068"/>
      <c r="J5" s="2068"/>
      <c r="K5" s="2068"/>
      <c r="L5" s="2069"/>
      <c r="M5" s="197"/>
    </row>
    <row r="6" spans="1:13" s="220" customFormat="1" ht="15" customHeight="1" thickBot="1" x14ac:dyDescent="0.25">
      <c r="A6" s="55" t="s">
        <v>623</v>
      </c>
      <c r="B6" s="167"/>
      <c r="C6" s="41"/>
      <c r="D6" s="1816">
        <f>IF('PR_Programmatic Progress_1A'!C14="Select","",'PR_Programmatic Progress_1A'!C14)</f>
        <v>17</v>
      </c>
      <c r="E6" s="1817"/>
      <c r="F6" s="1817"/>
      <c r="G6" s="1818"/>
      <c r="H6" s="1245"/>
      <c r="I6" s="758"/>
      <c r="J6" s="1246"/>
      <c r="K6" s="1246"/>
      <c r="L6" s="1246"/>
      <c r="M6" s="758"/>
    </row>
    <row r="7" spans="1:13" s="73" customFormat="1" ht="15" customHeight="1" thickBot="1" x14ac:dyDescent="0.25">
      <c r="A7" s="1233" t="s">
        <v>589</v>
      </c>
      <c r="B7" s="1234"/>
      <c r="C7" s="1236"/>
      <c r="D7" s="1926" t="str">
        <f>IF('PR_Programmatic Progress_1A'!C10="Select","",'PR_Programmatic Progress_1A'!C10)</f>
        <v>USD</v>
      </c>
      <c r="E7" s="1927"/>
      <c r="F7" s="1927"/>
      <c r="G7" s="1928"/>
    </row>
    <row r="8" spans="1:13" ht="27.75" customHeight="1" x14ac:dyDescent="0.2">
      <c r="A8" s="294"/>
      <c r="B8" s="295"/>
      <c r="C8" s="295"/>
      <c r="D8" s="294"/>
      <c r="E8" s="295"/>
      <c r="F8" s="7"/>
      <c r="G8" s="292"/>
      <c r="H8" s="232"/>
      <c r="I8" s="1247"/>
      <c r="J8" s="1248"/>
      <c r="K8" s="232"/>
      <c r="L8" s="1249"/>
      <c r="M8" s="756"/>
    </row>
    <row r="9" spans="1:13" ht="33.75" customHeight="1" thickBot="1" x14ac:dyDescent="0.35">
      <c r="A9" s="165" t="s">
        <v>210</v>
      </c>
      <c r="B9" s="296"/>
      <c r="C9" s="296"/>
      <c r="D9" s="166"/>
      <c r="E9" s="1317"/>
      <c r="F9" s="1318"/>
      <c r="G9" s="290"/>
      <c r="H9" s="288"/>
      <c r="I9" s="6"/>
      <c r="J9" s="290"/>
      <c r="K9" s="290"/>
      <c r="L9" s="290"/>
      <c r="M9" s="1202"/>
    </row>
    <row r="10" spans="1:13" s="754" customFormat="1" ht="26.25" customHeight="1" thickBot="1" x14ac:dyDescent="0.3">
      <c r="A10" s="2054" t="s">
        <v>600</v>
      </c>
      <c r="B10" s="2055"/>
      <c r="C10" s="2055"/>
      <c r="D10" s="2055"/>
      <c r="E10" s="2055"/>
      <c r="F10" s="2055"/>
      <c r="G10" s="2055"/>
      <c r="H10" s="2055"/>
      <c r="I10" s="2055"/>
      <c r="J10" s="2055"/>
      <c r="K10" s="2055"/>
      <c r="L10" s="2055"/>
      <c r="M10" s="2055"/>
    </row>
    <row r="11" spans="1:13" s="754" customFormat="1" ht="26.25" customHeight="1" x14ac:dyDescent="0.2">
      <c r="A11" s="2056"/>
      <c r="B11" s="2057"/>
      <c r="C11" s="2057"/>
      <c r="D11" s="2057"/>
      <c r="E11" s="2057"/>
      <c r="F11" s="2057"/>
      <c r="G11" s="2057"/>
      <c r="H11" s="2057"/>
      <c r="I11" s="2057"/>
      <c r="J11" s="2057"/>
      <c r="K11" s="2057"/>
      <c r="L11" s="2057"/>
      <c r="M11" s="2057"/>
    </row>
    <row r="12" spans="1:13" s="754" customFormat="1" ht="18" customHeight="1" x14ac:dyDescent="0.25">
      <c r="A12" s="2058" t="s">
        <v>238</v>
      </c>
      <c r="B12" s="2059"/>
      <c r="C12" s="2059"/>
      <c r="D12" s="2059"/>
      <c r="E12" s="2059"/>
      <c r="F12" s="2059"/>
      <c r="G12" s="2059"/>
      <c r="H12" s="2059"/>
      <c r="I12" s="2060"/>
      <c r="J12" s="501"/>
      <c r="K12" s="501"/>
      <c r="L12" s="501"/>
      <c r="M12" s="1203"/>
    </row>
    <row r="13" spans="1:13" s="754" customFormat="1" ht="24" customHeight="1" thickBot="1" x14ac:dyDescent="0.3">
      <c r="A13" s="693"/>
      <c r="B13" s="515"/>
      <c r="C13" s="515"/>
      <c r="D13" s="515"/>
      <c r="E13" s="515"/>
      <c r="F13" s="515"/>
      <c r="G13" s="515"/>
      <c r="H13" s="515"/>
      <c r="I13" s="515"/>
      <c r="J13" s="515"/>
      <c r="K13" s="404"/>
      <c r="L13" s="404"/>
      <c r="M13" s="1523">
        <v>172255.43</v>
      </c>
    </row>
    <row r="14" spans="1:13" s="754" customFormat="1" ht="26.25" customHeight="1" thickTop="1" x14ac:dyDescent="0.2">
      <c r="A14" s="190"/>
      <c r="B14" s="260"/>
      <c r="C14" s="306"/>
      <c r="D14" s="260"/>
      <c r="E14" s="305"/>
      <c r="F14" s="259"/>
      <c r="G14" s="305"/>
      <c r="H14" s="305"/>
      <c r="I14" s="305"/>
      <c r="J14" s="256"/>
      <c r="K14" s="405"/>
      <c r="L14" s="406"/>
      <c r="M14" s="407"/>
    </row>
    <row r="15" spans="1:13" s="754" customFormat="1" ht="26.25" customHeight="1" x14ac:dyDescent="0.2">
      <c r="A15" s="390" t="s">
        <v>601</v>
      </c>
      <c r="B15" s="257" t="s">
        <v>403</v>
      </c>
      <c r="C15" s="257"/>
      <c r="D15" s="257"/>
      <c r="E15" s="256"/>
      <c r="F15" s="1208"/>
      <c r="G15" s="256"/>
      <c r="H15" s="256"/>
      <c r="I15" s="256"/>
      <c r="J15" s="256"/>
      <c r="K15" s="428">
        <v>0</v>
      </c>
      <c r="L15" s="406"/>
      <c r="M15" s="1205"/>
    </row>
    <row r="16" spans="1:13" s="754" customFormat="1" ht="26.25" customHeight="1" x14ac:dyDescent="0.2">
      <c r="A16" s="366"/>
      <c r="B16" s="1256" t="s">
        <v>102</v>
      </c>
      <c r="C16" s="1256"/>
      <c r="D16" s="1256"/>
      <c r="E16" s="1257"/>
      <c r="F16" s="342"/>
      <c r="G16" s="1258"/>
      <c r="H16" s="340"/>
      <c r="I16" s="340"/>
      <c r="J16" s="340"/>
      <c r="K16" s="885">
        <v>0</v>
      </c>
      <c r="L16" s="406"/>
      <c r="M16" s="1206"/>
    </row>
    <row r="17" spans="1:13" s="754" customFormat="1" ht="26.25" customHeight="1" x14ac:dyDescent="0.2">
      <c r="A17" s="502"/>
      <c r="B17" s="257" t="s">
        <v>166</v>
      </c>
      <c r="C17" s="257"/>
      <c r="D17" s="257"/>
      <c r="E17" s="258"/>
      <c r="F17" s="1209"/>
      <c r="G17" s="258"/>
      <c r="H17" s="256"/>
      <c r="I17" s="256"/>
      <c r="J17" s="256"/>
      <c r="K17" s="885"/>
      <c r="L17" s="406"/>
      <c r="M17" s="807"/>
    </row>
    <row r="18" spans="1:13" s="754" customFormat="1" ht="26.25" customHeight="1" x14ac:dyDescent="0.2">
      <c r="A18" s="502"/>
      <c r="B18" s="257" t="s">
        <v>167</v>
      </c>
      <c r="C18" s="257"/>
      <c r="D18" s="257"/>
      <c r="E18" s="258"/>
      <c r="F18" s="258"/>
      <c r="G18" s="258"/>
      <c r="H18" s="256"/>
      <c r="I18" s="256"/>
      <c r="J18" s="256"/>
      <c r="K18" s="885">
        <v>0</v>
      </c>
      <c r="L18" s="406"/>
      <c r="M18" s="808"/>
    </row>
    <row r="19" spans="1:13" s="754" customFormat="1" ht="26.25" customHeight="1" thickBot="1" x14ac:dyDescent="0.3">
      <c r="A19" s="502"/>
      <c r="B19" s="339" t="s">
        <v>395</v>
      </c>
      <c r="C19" s="257"/>
      <c r="D19" s="257"/>
      <c r="E19" s="258"/>
      <c r="F19" s="258"/>
      <c r="G19" s="258"/>
      <c r="H19" s="256"/>
      <c r="I19" s="256"/>
      <c r="J19" s="256"/>
      <c r="K19" s="1204"/>
      <c r="L19" s="406"/>
      <c r="M19" s="409">
        <f>+K15+K16+K17+K18+K19</f>
        <v>0</v>
      </c>
    </row>
    <row r="20" spans="1:13" s="754" customFormat="1" ht="26.25" customHeight="1" thickTop="1" x14ac:dyDescent="0.2">
      <c r="A20" s="694"/>
      <c r="B20" s="695"/>
      <c r="C20" s="694"/>
      <c r="D20" s="695"/>
      <c r="E20" s="696"/>
      <c r="F20" s="696"/>
      <c r="G20" s="697"/>
      <c r="H20" s="698"/>
      <c r="I20" s="699"/>
      <c r="J20" s="256"/>
      <c r="K20" s="410"/>
      <c r="L20" s="406"/>
      <c r="M20" s="411"/>
    </row>
    <row r="21" spans="1:13" s="754" customFormat="1" ht="26.25" customHeight="1" x14ac:dyDescent="0.2">
      <c r="A21" s="189"/>
      <c r="B21" s="313"/>
      <c r="C21" s="307"/>
      <c r="D21" s="307"/>
      <c r="E21" s="309"/>
      <c r="F21" s="307"/>
      <c r="G21" s="312"/>
      <c r="H21" s="307"/>
      <c r="I21" s="311"/>
      <c r="J21" s="252"/>
      <c r="K21" s="412"/>
      <c r="L21" s="413"/>
      <c r="M21" s="414"/>
    </row>
    <row r="22" spans="1:13" s="754" customFormat="1" ht="26.25" customHeight="1" x14ac:dyDescent="0.2">
      <c r="A22" s="502" t="s">
        <v>602</v>
      </c>
      <c r="B22" s="2053" t="s">
        <v>405</v>
      </c>
      <c r="C22" s="2053"/>
      <c r="D22" s="2053"/>
      <c r="E22" s="2053"/>
      <c r="F22" s="2053"/>
      <c r="G22" s="2053"/>
      <c r="H22" s="2053"/>
      <c r="I22" s="2053"/>
      <c r="J22" s="256"/>
      <c r="K22" s="1524">
        <f>IF('PR_Total PR Cash Outflow_3A'!D12="","",'PR_Total PR Cash Outflow_3A'!D12)</f>
        <v>89021.549999999988</v>
      </c>
      <c r="L22" s="406"/>
      <c r="M22" s="738"/>
    </row>
    <row r="23" spans="1:13" s="754" customFormat="1" ht="26.25" customHeight="1" x14ac:dyDescent="0.25">
      <c r="A23" s="341"/>
      <c r="B23" s="339" t="s">
        <v>396</v>
      </c>
      <c r="C23" s="339"/>
      <c r="D23" s="339"/>
      <c r="E23" s="342"/>
      <c r="F23" s="342"/>
      <c r="G23" s="343"/>
      <c r="H23" s="344"/>
      <c r="I23" s="345"/>
      <c r="J23" s="340"/>
      <c r="K23" s="408"/>
      <c r="L23" s="417"/>
      <c r="M23" s="739"/>
    </row>
    <row r="24" spans="1:13" s="754" customFormat="1" ht="26.25" customHeight="1" x14ac:dyDescent="0.25">
      <c r="A24" s="737"/>
      <c r="B24" s="339" t="s">
        <v>481</v>
      </c>
      <c r="C24" s="339"/>
      <c r="D24" s="339"/>
      <c r="E24" s="342"/>
      <c r="F24" s="342"/>
      <c r="G24" s="342"/>
      <c r="H24" s="1259"/>
      <c r="I24" s="1260"/>
      <c r="J24" s="340"/>
      <c r="K24" s="893">
        <v>0</v>
      </c>
      <c r="L24" s="417"/>
      <c r="M24" s="1525">
        <f>+K22+K23+K24</f>
        <v>89021.549999999988</v>
      </c>
    </row>
    <row r="25" spans="1:13" s="754" customFormat="1" ht="26.25" customHeight="1" x14ac:dyDescent="0.2">
      <c r="A25" s="700"/>
      <c r="B25" s="175"/>
      <c r="C25" s="701"/>
      <c r="D25" s="175"/>
      <c r="E25" s="701"/>
      <c r="F25" s="702"/>
      <c r="G25" s="175"/>
      <c r="H25" s="703"/>
      <c r="I25" s="704"/>
      <c r="J25" s="252"/>
      <c r="K25" s="418"/>
      <c r="L25" s="413"/>
      <c r="M25" s="1526"/>
    </row>
    <row r="26" spans="1:13" s="754" customFormat="1" ht="26.25" customHeight="1" thickBot="1" x14ac:dyDescent="0.3">
      <c r="A26" s="310" t="s">
        <v>482</v>
      </c>
      <c r="B26" s="309"/>
      <c r="C26" s="309"/>
      <c r="D26" s="309"/>
      <c r="E26" s="313"/>
      <c r="F26" s="313"/>
      <c r="G26" s="313"/>
      <c r="H26" s="313"/>
      <c r="I26" s="307"/>
      <c r="J26" s="252"/>
      <c r="K26" s="413"/>
      <c r="L26" s="413"/>
      <c r="M26" s="1527">
        <f>M13+M19-M24</f>
        <v>83233.88</v>
      </c>
    </row>
    <row r="27" spans="1:13" s="754" customFormat="1" ht="19.5" customHeight="1" thickTop="1" x14ac:dyDescent="0.2">
      <c r="A27" s="175"/>
      <c r="B27" s="251"/>
      <c r="C27" s="251"/>
      <c r="D27" s="247"/>
      <c r="E27" s="248"/>
      <c r="F27" s="248"/>
      <c r="G27" s="248"/>
      <c r="H27" s="248"/>
      <c r="I27" s="251"/>
      <c r="J27" s="175"/>
      <c r="K27" s="251"/>
      <c r="L27" s="248"/>
      <c r="M27" s="308"/>
    </row>
    <row r="28" spans="1:13" ht="15.75" x14ac:dyDescent="0.25">
      <c r="A28" s="1261" t="s">
        <v>483</v>
      </c>
      <c r="B28" s="1249"/>
      <c r="C28" s="1249"/>
      <c r="D28" s="1249"/>
      <c r="E28" s="1249"/>
      <c r="F28" s="1249"/>
      <c r="G28" s="1249"/>
      <c r="H28" s="1249"/>
      <c r="I28" s="1262"/>
      <c r="J28" s="1249"/>
      <c r="K28" s="614"/>
      <c r="L28" s="614"/>
      <c r="M28" s="1263"/>
    </row>
    <row r="29" spans="1:13" ht="21.75" customHeight="1" x14ac:dyDescent="0.2">
      <c r="A29" s="740" t="s">
        <v>339</v>
      </c>
      <c r="B29" s="555"/>
      <c r="C29" s="555"/>
      <c r="D29" s="555"/>
      <c r="E29" s="555"/>
      <c r="F29" s="555"/>
      <c r="G29" s="555"/>
      <c r="H29" s="555"/>
      <c r="I29" s="558"/>
      <c r="J29" s="555"/>
      <c r="K29" s="809"/>
      <c r="L29" s="809"/>
      <c r="M29" s="1207"/>
    </row>
    <row r="30" spans="1:13" x14ac:dyDescent="0.2">
      <c r="A30" s="2046" t="s">
        <v>721</v>
      </c>
      <c r="B30" s="2047"/>
      <c r="C30" s="2047"/>
      <c r="D30" s="2047"/>
      <c r="E30" s="2047"/>
      <c r="F30" s="2047"/>
      <c r="G30" s="2047"/>
      <c r="H30" s="2047"/>
      <c r="I30" s="2047"/>
      <c r="J30" s="2047"/>
      <c r="K30" s="2047"/>
      <c r="L30" s="2047"/>
      <c r="M30" s="2047"/>
    </row>
    <row r="31" spans="1:13" x14ac:dyDescent="0.2">
      <c r="A31" s="2048"/>
      <c r="B31" s="2049"/>
      <c r="C31" s="2049"/>
      <c r="D31" s="2049"/>
      <c r="E31" s="2049"/>
      <c r="F31" s="2049"/>
      <c r="G31" s="2049"/>
      <c r="H31" s="2049"/>
      <c r="I31" s="2049"/>
      <c r="J31" s="2049"/>
      <c r="K31" s="2049"/>
      <c r="L31" s="2049"/>
      <c r="M31" s="2049"/>
    </row>
    <row r="32" spans="1:13" ht="45.75" customHeight="1" x14ac:dyDescent="0.2">
      <c r="A32" s="2050"/>
      <c r="B32" s="2051"/>
      <c r="C32" s="2051"/>
      <c r="D32" s="2051"/>
      <c r="E32" s="2051"/>
      <c r="F32" s="2051"/>
      <c r="G32" s="2051"/>
      <c r="H32" s="2051"/>
      <c r="I32" s="2051"/>
      <c r="J32" s="2051"/>
      <c r="K32" s="2051"/>
      <c r="L32" s="2051"/>
      <c r="M32" s="2051"/>
    </row>
    <row r="33" spans="1:13" x14ac:dyDescent="0.2">
      <c r="A33" s="1210"/>
      <c r="B33" s="1210"/>
      <c r="C33" s="1210"/>
      <c r="D33" s="1210"/>
      <c r="E33" s="1210"/>
      <c r="F33" s="1210"/>
      <c r="G33" s="1210"/>
      <c r="H33" s="1210"/>
      <c r="I33" s="1211"/>
      <c r="J33" s="1210"/>
      <c r="K33" s="1210"/>
      <c r="L33" s="1210"/>
      <c r="M33" s="1212"/>
    </row>
    <row r="34" spans="1:13" x14ac:dyDescent="0.2">
      <c r="A34" s="2"/>
      <c r="B34" s="2"/>
      <c r="C34" s="2"/>
      <c r="D34" s="2"/>
      <c r="E34" s="2"/>
      <c r="F34" s="2"/>
      <c r="G34" s="2"/>
      <c r="H34" s="2"/>
      <c r="I34" s="2"/>
      <c r="J34" s="2"/>
      <c r="K34" s="2"/>
      <c r="L34" s="2"/>
      <c r="M34" s="2"/>
    </row>
    <row r="35" spans="1:13" x14ac:dyDescent="0.2">
      <c r="A35" s="2"/>
      <c r="B35" s="2"/>
      <c r="C35" s="2"/>
      <c r="D35" s="2"/>
      <c r="E35" s="2"/>
      <c r="F35" s="2"/>
      <c r="G35" s="2"/>
      <c r="H35" s="2"/>
      <c r="I35" s="2"/>
      <c r="J35" s="2"/>
      <c r="K35" s="2"/>
      <c r="L35" s="2"/>
      <c r="M35" s="2"/>
    </row>
  </sheetData>
  <sheetProtection password="92D1" sheet="1" formatCells="0" formatColumns="0" formatRows="0"/>
  <mergeCells count="11">
    <mergeCell ref="A30:M32"/>
    <mergeCell ref="A1:H1"/>
    <mergeCell ref="A3:C3"/>
    <mergeCell ref="B22:I22"/>
    <mergeCell ref="A10:M10"/>
    <mergeCell ref="A11:M11"/>
    <mergeCell ref="D3:G3"/>
    <mergeCell ref="D6:G6"/>
    <mergeCell ref="A12:I12"/>
    <mergeCell ref="D7:G7"/>
    <mergeCell ref="H3:L5"/>
  </mergeCells>
  <phoneticPr fontId="37" type="noConversion"/>
  <dataValidations count="1">
    <dataValidation type="list" allowBlank="1" showInputMessage="1" showErrorMessage="1" sqref="C2:G2">
      <formula1>"Select,USD,EUR"</formula1>
    </dataValidation>
  </dataValidations>
  <printOptions horizontalCentered="1"/>
  <pageMargins left="0.74803149606299213" right="0.74803149606299213" top="0.59055118110236227" bottom="0.59055118110236227" header="0.51181102362204722" footer="0.51181102362204722"/>
  <pageSetup paperSize="9" scale="59" fitToHeight="0" orientation="landscape" cellComments="asDisplayed" r:id="rId1"/>
  <headerFooter alignWithMargins="0">
    <oddFooter>&amp;L&amp;9&amp;F&amp;C&amp;A&amp;R&amp;9Page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pageSetUpPr fitToPage="1"/>
  </sheetPr>
  <dimension ref="A1:T80"/>
  <sheetViews>
    <sheetView showGridLines="0" view="pageBreakPreview" topLeftCell="C19" zoomScale="70" zoomScaleNormal="60" zoomScaleSheetLayoutView="70" zoomScalePageLayoutView="80" workbookViewId="0">
      <selection activeCell="N17" sqref="N17"/>
    </sheetView>
  </sheetViews>
  <sheetFormatPr defaultRowHeight="12.75" x14ac:dyDescent="0.2"/>
  <cols>
    <col min="1" max="1" width="14.85546875" style="72" customWidth="1"/>
    <col min="2" max="2" width="29" style="72" customWidth="1"/>
    <col min="3" max="3" width="6.140625" style="72" customWidth="1"/>
    <col min="4" max="4" width="2.42578125" style="72" customWidth="1"/>
    <col min="5" max="5" width="17.42578125" style="72" customWidth="1"/>
    <col min="6" max="6" width="21.5703125" style="72" bestFit="1" customWidth="1"/>
    <col min="7" max="7" width="14.85546875" style="72" customWidth="1"/>
    <col min="8" max="8" width="19.28515625" style="72" customWidth="1"/>
    <col min="9" max="9" width="18" style="72" customWidth="1"/>
    <col min="10" max="10" width="32.85546875" style="72" customWidth="1"/>
    <col min="11" max="11" width="15.7109375" style="72" customWidth="1"/>
    <col min="12" max="12" width="22.5703125" style="72" customWidth="1"/>
    <col min="13" max="13" width="3.42578125" style="72" customWidth="1"/>
    <col min="14" max="14" width="16" style="72" customWidth="1"/>
    <col min="15" max="17" width="16" style="72" hidden="1" customWidth="1"/>
    <col min="18" max="18" width="7" style="72" customWidth="1"/>
    <col min="19" max="19" width="20.7109375" style="72" customWidth="1"/>
    <col min="20" max="20" width="9.85546875" style="72" customWidth="1"/>
    <col min="21" max="16384" width="9.140625" style="69"/>
  </cols>
  <sheetData>
    <row r="1" spans="1:20" ht="25.5" customHeight="1" x14ac:dyDescent="0.4">
      <c r="A1" s="2052" t="s">
        <v>410</v>
      </c>
      <c r="B1" s="2052"/>
      <c r="C1" s="2052"/>
      <c r="D1" s="2052"/>
      <c r="E1" s="2052"/>
      <c r="F1" s="2052"/>
      <c r="G1" s="2052"/>
      <c r="H1" s="2052"/>
      <c r="I1" s="2052"/>
      <c r="J1" s="2052"/>
      <c r="K1" s="297"/>
      <c r="L1" s="286"/>
      <c r="M1" s="286"/>
      <c r="N1" s="300"/>
      <c r="O1" s="300"/>
      <c r="P1" s="300"/>
      <c r="Q1" s="300"/>
      <c r="R1" s="301"/>
      <c r="S1" s="301"/>
      <c r="T1" s="756"/>
    </row>
    <row r="2" spans="1:20" s="14" customFormat="1" ht="27" customHeight="1" thickBot="1" x14ac:dyDescent="0.3">
      <c r="A2" s="98" t="s">
        <v>505</v>
      </c>
      <c r="B2" s="10"/>
      <c r="C2" s="10"/>
      <c r="D2" s="10"/>
      <c r="E2" s="10"/>
      <c r="F2" s="283"/>
      <c r="G2" s="284"/>
      <c r="H2" s="284"/>
      <c r="I2" s="10"/>
      <c r="J2" s="285"/>
      <c r="K2" s="298"/>
      <c r="L2" s="302"/>
      <c r="M2" s="302"/>
      <c r="N2" s="302"/>
      <c r="O2" s="302"/>
      <c r="P2" s="302"/>
      <c r="Q2" s="302"/>
      <c r="R2" s="302"/>
      <c r="S2" s="302"/>
      <c r="T2" s="757"/>
    </row>
    <row r="3" spans="1:20" s="220" customFormat="1" ht="28.5" customHeight="1" thickBot="1" x14ac:dyDescent="0.25">
      <c r="A3" s="1742" t="s">
        <v>419</v>
      </c>
      <c r="B3" s="1801"/>
      <c r="C3" s="1801"/>
      <c r="D3" s="1801"/>
      <c r="E3" s="1743"/>
      <c r="F3" s="1803" t="str">
        <f>IF('PR_Programmatic Progress_1A'!C7="","",'PR_Programmatic Progress_1A'!C7)</f>
        <v>BTN-607-G03-H</v>
      </c>
      <c r="G3" s="1804"/>
      <c r="H3" s="1804"/>
      <c r="I3" s="1805"/>
      <c r="J3" s="195"/>
      <c r="K3" s="197"/>
      <c r="L3" s="199"/>
      <c r="M3" s="199"/>
      <c r="N3" s="199"/>
      <c r="O3" s="199"/>
      <c r="P3" s="199"/>
      <c r="Q3" s="199"/>
      <c r="R3" s="199"/>
      <c r="S3" s="199"/>
      <c r="T3" s="758"/>
    </row>
    <row r="4" spans="1:20" s="220" customFormat="1" ht="15" customHeight="1" x14ac:dyDescent="0.2">
      <c r="A4" s="492" t="s">
        <v>621</v>
      </c>
      <c r="B4" s="512"/>
      <c r="C4" s="512"/>
      <c r="D4" s="512"/>
      <c r="E4" s="512"/>
      <c r="F4" s="53" t="s">
        <v>627</v>
      </c>
      <c r="G4" s="504" t="str">
        <f>IF('PR_Programmatic Progress_1A'!D12="Select","",'PR_Programmatic Progress_1A'!D12)</f>
        <v>Quarter</v>
      </c>
      <c r="H4" s="5" t="s">
        <v>628</v>
      </c>
      <c r="I4" s="47">
        <f>IF('PR_Programmatic Progress_1A'!F12="Select","",'PR_Programmatic Progress_1A'!F12)</f>
        <v>17</v>
      </c>
      <c r="J4" s="196"/>
      <c r="K4" s="197"/>
      <c r="L4" s="199"/>
      <c r="M4" s="199"/>
      <c r="N4" s="199"/>
      <c r="O4" s="199"/>
      <c r="P4" s="199"/>
      <c r="Q4" s="199"/>
      <c r="R4" s="199"/>
      <c r="S4" s="199"/>
      <c r="T4" s="758"/>
    </row>
    <row r="5" spans="1:20" s="220" customFormat="1" ht="15" customHeight="1" x14ac:dyDescent="0.2">
      <c r="A5" s="513" t="s">
        <v>622</v>
      </c>
      <c r="B5" s="40"/>
      <c r="C5" s="40"/>
      <c r="D5" s="40"/>
      <c r="E5" s="40"/>
      <c r="F5" s="54" t="s">
        <v>590</v>
      </c>
      <c r="G5" s="519">
        <f>IF('PR_Programmatic Progress_1A'!D13="","",'PR_Programmatic Progress_1A'!D13)</f>
        <v>40940</v>
      </c>
      <c r="H5" s="5" t="s">
        <v>608</v>
      </c>
      <c r="I5" s="520">
        <f>IF('PR_Programmatic Progress_1A'!F13="","",'PR_Programmatic Progress_1A'!F13)</f>
        <v>41029</v>
      </c>
      <c r="J5" s="196"/>
      <c r="K5" s="197"/>
      <c r="L5" s="199"/>
      <c r="M5" s="199"/>
      <c r="N5" s="199"/>
      <c r="O5" s="199"/>
      <c r="P5" s="199"/>
      <c r="Q5" s="199"/>
      <c r="R5" s="199"/>
      <c r="S5" s="199"/>
      <c r="T5" s="758"/>
    </row>
    <row r="6" spans="1:20" s="220" customFormat="1" ht="15" customHeight="1" thickBot="1" x14ac:dyDescent="0.25">
      <c r="A6" s="55" t="s">
        <v>623</v>
      </c>
      <c r="B6" s="167"/>
      <c r="C6" s="167"/>
      <c r="D6" s="167"/>
      <c r="E6" s="41"/>
      <c r="F6" s="1816">
        <f>IF('PR_Programmatic Progress_1A'!C14="Select","",'PR_Programmatic Progress_1A'!C14)</f>
        <v>17</v>
      </c>
      <c r="G6" s="1817"/>
      <c r="H6" s="1817"/>
      <c r="I6" s="1818"/>
      <c r="J6" s="196"/>
      <c r="K6" s="197"/>
      <c r="L6" s="199"/>
      <c r="M6" s="199"/>
      <c r="N6" s="199"/>
      <c r="O6" s="199"/>
      <c r="P6" s="199"/>
      <c r="Q6" s="199"/>
      <c r="R6" s="199"/>
      <c r="S6" s="199"/>
      <c r="T6" s="758"/>
    </row>
    <row r="7" spans="1:20" s="73" customFormat="1" ht="15" customHeight="1" thickBot="1" x14ac:dyDescent="0.25">
      <c r="A7" s="1233" t="s">
        <v>589</v>
      </c>
      <c r="B7" s="1234"/>
      <c r="C7" s="1236"/>
      <c r="D7" s="2070" t="str">
        <f>IF('PR_Programmatic Progress_1A'!C10="Select","",'PR_Programmatic Progress_1A'!C10)</f>
        <v>USD</v>
      </c>
      <c r="E7" s="2071"/>
      <c r="F7" s="2071"/>
      <c r="G7" s="2071"/>
      <c r="H7" s="2071"/>
      <c r="I7" s="2072"/>
      <c r="J7" s="4"/>
      <c r="K7" s="4"/>
      <c r="L7" s="4"/>
    </row>
    <row r="8" spans="1:20" ht="8.25" customHeight="1" x14ac:dyDescent="0.2">
      <c r="A8" s="294"/>
      <c r="B8" s="295"/>
      <c r="C8" s="295"/>
      <c r="D8" s="1239"/>
      <c r="E8" s="1239"/>
      <c r="F8" s="1240"/>
      <c r="G8" s="1239"/>
      <c r="H8" s="7"/>
      <c r="I8" s="1241"/>
      <c r="J8" s="289"/>
      <c r="K8" s="299"/>
      <c r="L8" s="287"/>
      <c r="M8" s="287"/>
      <c r="N8" s="289"/>
      <c r="O8" s="289"/>
      <c r="P8" s="289"/>
      <c r="Q8" s="289"/>
      <c r="R8" s="301"/>
      <c r="S8" s="199"/>
      <c r="T8" s="756"/>
    </row>
    <row r="9" spans="1:20" ht="33.75" customHeight="1" x14ac:dyDescent="0.3">
      <c r="A9" s="66" t="s">
        <v>210</v>
      </c>
      <c r="B9" s="296"/>
      <c r="C9" s="296"/>
      <c r="D9" s="296"/>
      <c r="E9" s="296"/>
      <c r="F9" s="166"/>
      <c r="G9" s="293"/>
      <c r="H9" s="291"/>
      <c r="I9" s="290"/>
      <c r="J9" s="288"/>
      <c r="K9" s="6"/>
      <c r="L9" s="290"/>
      <c r="M9" s="301"/>
      <c r="N9" s="301"/>
      <c r="O9" s="301"/>
      <c r="P9" s="301"/>
      <c r="Q9" s="301"/>
      <c r="R9" s="301"/>
      <c r="S9" s="301"/>
      <c r="T9" s="756"/>
    </row>
    <row r="10" spans="1:20" s="754" customFormat="1" ht="6.75" customHeight="1" thickBot="1" x14ac:dyDescent="0.25">
      <c r="A10" s="175"/>
      <c r="B10" s="251"/>
      <c r="C10" s="251"/>
      <c r="D10" s="251"/>
      <c r="E10" s="251"/>
      <c r="F10" s="247"/>
      <c r="G10" s="248"/>
      <c r="H10" s="248"/>
      <c r="I10" s="248"/>
      <c r="J10" s="248"/>
      <c r="K10" s="251"/>
      <c r="L10" s="251"/>
      <c r="M10" s="842"/>
      <c r="N10" s="842"/>
      <c r="O10" s="842"/>
      <c r="P10" s="842"/>
      <c r="Q10" s="842"/>
      <c r="R10" s="842"/>
      <c r="S10" s="842"/>
      <c r="T10" s="1013"/>
    </row>
    <row r="11" spans="1:20" s="754" customFormat="1" ht="20.100000000000001" customHeight="1" thickBot="1" x14ac:dyDescent="0.3">
      <c r="A11" s="2054" t="s">
        <v>603</v>
      </c>
      <c r="B11" s="2055"/>
      <c r="C11" s="2055"/>
      <c r="D11" s="2055"/>
      <c r="E11" s="2055"/>
      <c r="F11" s="2055"/>
      <c r="G11" s="2055"/>
      <c r="H11" s="2055"/>
      <c r="I11" s="2055"/>
      <c r="J11" s="2055"/>
      <c r="K11" s="2055"/>
      <c r="L11" s="2055"/>
      <c r="M11" s="2055"/>
      <c r="N11" s="2055"/>
      <c r="O11" s="2055"/>
      <c r="P11" s="2055"/>
      <c r="Q11" s="2055"/>
      <c r="R11" s="2055"/>
      <c r="S11" s="2077"/>
      <c r="T11" s="1014"/>
    </row>
    <row r="12" spans="1:20" s="754" customFormat="1" ht="4.5" customHeight="1" x14ac:dyDescent="0.25">
      <c r="A12" s="2078"/>
      <c r="B12" s="2078"/>
      <c r="C12" s="2078"/>
      <c r="D12" s="2078"/>
      <c r="E12" s="2078"/>
      <c r="F12" s="2078"/>
      <c r="G12" s="2078"/>
      <c r="H12" s="2078"/>
      <c r="I12" s="2079"/>
      <c r="J12" s="2078"/>
      <c r="K12" s="2078"/>
      <c r="L12" s="2078"/>
      <c r="M12" s="2078"/>
      <c r="N12" s="2078"/>
      <c r="O12" s="2078"/>
      <c r="P12" s="2078"/>
      <c r="Q12" s="2078"/>
      <c r="R12" s="2078"/>
      <c r="S12" s="2078"/>
      <c r="T12" s="1013"/>
    </row>
    <row r="13" spans="1:20" s="754" customFormat="1" ht="4.5" customHeight="1" x14ac:dyDescent="0.25">
      <c r="A13" s="835"/>
      <c r="B13" s="18"/>
      <c r="C13" s="18"/>
      <c r="D13" s="18"/>
      <c r="E13" s="835"/>
      <c r="F13" s="18"/>
      <c r="G13" s="835"/>
      <c r="H13" s="835"/>
      <c r="I13" s="18"/>
      <c r="J13" s="835"/>
      <c r="K13" s="835"/>
      <c r="L13" s="835"/>
      <c r="M13" s="835"/>
      <c r="N13" s="835"/>
      <c r="O13" s="18"/>
      <c r="P13" s="18"/>
      <c r="Q13" s="18"/>
      <c r="R13" s="18"/>
      <c r="S13" s="835"/>
      <c r="T13" s="1013"/>
    </row>
    <row r="14" spans="1:20" s="754" customFormat="1" ht="15" customHeight="1" x14ac:dyDescent="0.25">
      <c r="A14" s="265" t="s">
        <v>609</v>
      </c>
      <c r="B14" s="18"/>
      <c r="C14" s="18"/>
      <c r="D14" s="18"/>
      <c r="E14" s="303"/>
      <c r="F14" s="18"/>
      <c r="G14" s="515"/>
      <c r="H14" s="335"/>
      <c r="I14" s="18"/>
      <c r="J14" s="515"/>
      <c r="K14" s="515"/>
      <c r="L14" s="314"/>
      <c r="M14" s="515"/>
      <c r="N14" s="501"/>
      <c r="O14" s="18"/>
      <c r="P14" s="18"/>
      <c r="Q14" s="18"/>
      <c r="R14" s="18"/>
      <c r="S14" s="515"/>
      <c r="T14" s="1013"/>
    </row>
    <row r="15" spans="1:20" s="754" customFormat="1" ht="17.25" customHeight="1" x14ac:dyDescent="0.25">
      <c r="A15" s="266" t="s">
        <v>357</v>
      </c>
      <c r="B15" s="304"/>
      <c r="C15" s="19"/>
      <c r="D15" s="19"/>
      <c r="E15" s="19"/>
      <c r="F15" s="320"/>
      <c r="G15" s="261"/>
      <c r="H15" s="19"/>
      <c r="I15" s="261"/>
      <c r="J15" s="304"/>
      <c r="K15" s="261"/>
      <c r="L15" s="261"/>
      <c r="M15" s="19"/>
      <c r="N15" s="261"/>
      <c r="O15" s="320"/>
      <c r="P15" s="320"/>
      <c r="Q15" s="320"/>
      <c r="R15" s="320"/>
      <c r="S15" s="321"/>
      <c r="T15" s="1013"/>
    </row>
    <row r="16" spans="1:20" s="800" customFormat="1" ht="19.5" customHeight="1" x14ac:dyDescent="0.2">
      <c r="A16" s="276" t="s">
        <v>211</v>
      </c>
      <c r="B16" s="327"/>
      <c r="C16" s="169"/>
      <c r="D16" s="169"/>
      <c r="E16" s="334">
        <f>IF('PR_Programmatic Progress_1A'!D17="","",'PR_Programmatic Progress_1A'!D17)</f>
        <v>41030</v>
      </c>
      <c r="F16" s="319"/>
      <c r="G16" s="276" t="s">
        <v>604</v>
      </c>
      <c r="H16" s="334">
        <f>IF('PR_Programmatic Progress_1A'!F17="","",'PR_Programmatic Progress_1A'!F17)</f>
        <v>41213</v>
      </c>
      <c r="I16" s="276"/>
      <c r="J16" s="316" t="s">
        <v>391</v>
      </c>
      <c r="K16" s="420">
        <f>148198+95295</f>
        <v>243493</v>
      </c>
      <c r="L16" s="421" t="s">
        <v>620</v>
      </c>
      <c r="M16" s="422"/>
      <c r="N16" s="408">
        <f>K16+190300.12</f>
        <v>433793.12</v>
      </c>
      <c r="O16" s="893"/>
      <c r="P16" s="893"/>
      <c r="Q16" s="893"/>
      <c r="R16" s="423"/>
      <c r="S16" s="431"/>
      <c r="T16" s="1015"/>
    </row>
    <row r="17" spans="1:20" s="800" customFormat="1" ht="24.75" customHeight="1" x14ac:dyDescent="0.2">
      <c r="A17" s="276" t="s">
        <v>280</v>
      </c>
      <c r="B17" s="327"/>
      <c r="C17" s="169"/>
      <c r="D17" s="169"/>
      <c r="E17" s="192"/>
      <c r="F17" s="319"/>
      <c r="G17" s="323"/>
      <c r="H17" s="192"/>
      <c r="I17" s="276"/>
      <c r="J17" s="317"/>
      <c r="K17" s="425"/>
      <c r="L17" s="421"/>
      <c r="M17" s="426"/>
      <c r="N17" s="427"/>
      <c r="O17" s="1179"/>
      <c r="P17" s="1179"/>
      <c r="Q17" s="1179"/>
      <c r="R17" s="423"/>
      <c r="T17" s="836"/>
    </row>
    <row r="18" spans="1:20" s="800" customFormat="1" ht="22.5" customHeight="1" x14ac:dyDescent="0.2">
      <c r="A18" s="249" t="s">
        <v>271</v>
      </c>
      <c r="B18" s="327"/>
      <c r="C18" s="169"/>
      <c r="D18" s="169"/>
      <c r="E18" s="334">
        <f>IF(H16="","",H16+1)</f>
        <v>41214</v>
      </c>
      <c r="F18" s="319"/>
      <c r="G18" s="276" t="s">
        <v>604</v>
      </c>
      <c r="H18" s="334">
        <f>IF(E18="","",DATE(YEAR(E18),MONTH(E18)+3,DAY(E18)-1))</f>
        <v>41305</v>
      </c>
      <c r="I18" s="276"/>
      <c r="J18" s="316" t="s">
        <v>391</v>
      </c>
      <c r="K18" s="428">
        <v>82019</v>
      </c>
      <c r="L18" s="421" t="s">
        <v>620</v>
      </c>
      <c r="M18" s="429"/>
      <c r="N18" s="428">
        <f>K18</f>
        <v>82019</v>
      </c>
      <c r="O18" s="1180"/>
      <c r="P18" s="1180"/>
      <c r="Q18" s="1180"/>
      <c r="R18" s="430"/>
      <c r="T18" s="799"/>
    </row>
    <row r="19" spans="1:20" s="800" customFormat="1" ht="16.5" customHeight="1" x14ac:dyDescent="0.25">
      <c r="A19" s="837"/>
      <c r="B19" s="92"/>
      <c r="C19" s="92"/>
      <c r="D19" s="92"/>
      <c r="E19" s="1158"/>
      <c r="F19" s="92"/>
      <c r="G19" s="92"/>
      <c r="H19" s="1158"/>
      <c r="I19" s="92"/>
      <c r="J19" s="92"/>
      <c r="K19" s="1159"/>
      <c r="L19" s="1160"/>
      <c r="M19" s="1161"/>
      <c r="N19" s="1159"/>
      <c r="O19" s="1159"/>
      <c r="P19" s="1159"/>
      <c r="Q19" s="1159"/>
      <c r="R19" s="830"/>
      <c r="S19" s="810" t="s">
        <v>550</v>
      </c>
    </row>
    <row r="20" spans="1:20" s="800" customFormat="1" ht="25.5" customHeight="1" x14ac:dyDescent="0.25">
      <c r="A20" s="276" t="s">
        <v>290</v>
      </c>
      <c r="B20" s="92"/>
      <c r="D20" s="92"/>
      <c r="E20" s="1158"/>
      <c r="F20" s="92"/>
      <c r="G20" s="92"/>
      <c r="H20" s="1158"/>
      <c r="I20" s="92"/>
      <c r="J20" s="92"/>
      <c r="K20" s="1159"/>
      <c r="L20" s="1160"/>
      <c r="M20" s="1161"/>
      <c r="N20" s="1159"/>
      <c r="O20" s="1159"/>
      <c r="P20" s="1159"/>
      <c r="Q20" s="1159"/>
      <c r="R20" s="830"/>
      <c r="S20" s="409">
        <f>N16+N18+N22</f>
        <v>515812.12</v>
      </c>
    </row>
    <row r="21" spans="1:20" s="800" customFormat="1" ht="25.5" customHeight="1" x14ac:dyDescent="0.25">
      <c r="A21" s="249" t="s">
        <v>274</v>
      </c>
      <c r="B21" s="92"/>
      <c r="C21" s="1175" t="s">
        <v>270</v>
      </c>
      <c r="D21" s="92"/>
      <c r="E21" s="1158"/>
      <c r="F21" s="92"/>
      <c r="G21" s="92"/>
      <c r="H21" s="1158"/>
      <c r="I21" s="92"/>
      <c r="J21" s="92"/>
      <c r="K21" s="1159"/>
      <c r="L21" s="1160"/>
      <c r="M21" s="1161"/>
      <c r="N21" s="1159"/>
      <c r="O21" s="1159"/>
      <c r="P21" s="1159"/>
      <c r="Q21" s="1159"/>
      <c r="R21" s="830"/>
      <c r="S21" s="1162"/>
    </row>
    <row r="22" spans="1:20" s="800" customFormat="1" ht="20.25" customHeight="1" x14ac:dyDescent="0.25">
      <c r="A22" s="837" t="s">
        <v>272</v>
      </c>
      <c r="B22" s="92"/>
      <c r="D22" s="92"/>
      <c r="E22" s="334">
        <f>IF(H18="","",H18+1)</f>
        <v>41306</v>
      </c>
      <c r="F22" s="92"/>
      <c r="G22" s="276" t="s">
        <v>604</v>
      </c>
      <c r="H22" s="334" t="str">
        <f>IF(C21="","",IF(C21="1M",DATE(YEAR(E22),MONTH(E22)+1,DAY(E22)-1),IF(C21="2M",DATE(YEAR(E22),MONTH(E22)+2,DAY(E22)-1),IF(C21="3M",DATE(YEAR(E22),MONTH(E22)+3,DAY(E22)-1),""))))</f>
        <v/>
      </c>
      <c r="I22" s="92"/>
      <c r="J22" s="92" t="s">
        <v>391</v>
      </c>
      <c r="K22" s="416"/>
      <c r="L22" s="1160" t="s">
        <v>620</v>
      </c>
      <c r="M22" s="1161"/>
      <c r="N22" s="416"/>
      <c r="O22" s="1159"/>
      <c r="P22" s="1159"/>
      <c r="Q22" s="1159"/>
      <c r="R22" s="830"/>
      <c r="S22" s="1162"/>
    </row>
    <row r="23" spans="1:20" s="800" customFormat="1" ht="14.25" customHeight="1" x14ac:dyDescent="0.25">
      <c r="A23" s="837"/>
      <c r="B23" s="92"/>
      <c r="D23" s="92"/>
      <c r="E23" s="1158"/>
      <c r="F23" s="92"/>
      <c r="G23" s="92"/>
      <c r="H23" s="1158"/>
      <c r="I23" s="92"/>
      <c r="J23" s="92"/>
      <c r="K23" s="1159"/>
      <c r="L23" s="1160"/>
      <c r="M23" s="1161"/>
      <c r="N23" s="1159"/>
      <c r="O23" s="1159"/>
      <c r="P23" s="1159"/>
      <c r="Q23" s="1159"/>
      <c r="R23" s="830"/>
      <c r="S23" s="1162"/>
    </row>
    <row r="24" spans="1:20" s="800" customFormat="1" ht="40.5" customHeight="1" x14ac:dyDescent="0.25">
      <c r="A24" s="2075" t="s">
        <v>340</v>
      </c>
      <c r="B24" s="2075"/>
      <c r="C24" s="2075"/>
      <c r="D24" s="2075"/>
      <c r="E24" s="2075"/>
      <c r="F24" s="2075"/>
      <c r="G24" s="2075"/>
      <c r="H24" s="2075"/>
      <c r="I24" s="2075"/>
      <c r="J24" s="2075"/>
      <c r="K24" s="2075"/>
      <c r="L24" s="2075"/>
      <c r="M24" s="2075"/>
      <c r="N24" s="2075"/>
      <c r="O24" s="2075"/>
      <c r="P24" s="2075"/>
      <c r="Q24" s="2075"/>
      <c r="R24" s="2075"/>
      <c r="S24" s="2075"/>
      <c r="T24" s="2076"/>
    </row>
    <row r="25" spans="1:20" s="800" customFormat="1" ht="33" customHeight="1" x14ac:dyDescent="0.25">
      <c r="A25" s="2075" t="s">
        <v>285</v>
      </c>
      <c r="B25" s="2075"/>
      <c r="C25" s="2075"/>
      <c r="D25" s="2075"/>
      <c r="E25" s="2075"/>
      <c r="F25" s="2075"/>
      <c r="G25" s="2075"/>
      <c r="H25" s="2075"/>
      <c r="I25" s="2075"/>
      <c r="J25" s="2075"/>
      <c r="K25" s="2075"/>
      <c r="L25" s="2075"/>
      <c r="M25" s="2075"/>
      <c r="N25" s="2075"/>
      <c r="O25" s="2075"/>
      <c r="P25" s="2075"/>
      <c r="Q25" s="2075"/>
      <c r="R25" s="2075"/>
      <c r="S25" s="2075"/>
      <c r="T25" s="2075"/>
    </row>
    <row r="26" spans="1:20" s="800" customFormat="1" ht="13.5" customHeight="1" thickBot="1" x14ac:dyDescent="0.25">
      <c r="A26" s="169"/>
      <c r="B26" s="169"/>
      <c r="C26" s="169"/>
      <c r="D26" s="169"/>
      <c r="E26" s="169"/>
      <c r="F26" s="169"/>
      <c r="G26" s="193"/>
      <c r="H26" s="193"/>
      <c r="I26" s="193"/>
      <c r="J26" s="169"/>
      <c r="K26" s="169"/>
      <c r="L26" s="169"/>
      <c r="M26" s="169"/>
      <c r="N26" s="705"/>
      <c r="O26" s="705"/>
      <c r="P26" s="705"/>
      <c r="Q26" s="705"/>
      <c r="R26" s="169"/>
      <c r="S26" s="705"/>
    </row>
    <row r="27" spans="1:20" ht="102" customHeight="1" x14ac:dyDescent="0.2">
      <c r="A27" s="2073" t="s">
        <v>325</v>
      </c>
      <c r="B27" s="2073"/>
      <c r="C27" s="2073"/>
      <c r="D27" s="2073"/>
      <c r="E27" s="2073"/>
      <c r="F27" s="2073"/>
      <c r="G27" s="2073"/>
      <c r="H27" s="2073"/>
      <c r="I27" s="2083"/>
      <c r="J27" s="2084"/>
      <c r="K27" s="2084"/>
      <c r="L27" s="2084"/>
      <c r="M27" s="2084"/>
      <c r="N27" s="2084"/>
      <c r="O27" s="2084"/>
      <c r="P27" s="2084"/>
      <c r="Q27" s="2084"/>
      <c r="R27" s="2084"/>
      <c r="S27" s="2085"/>
      <c r="T27" s="69"/>
    </row>
    <row r="28" spans="1:20" ht="102" customHeight="1" thickBot="1" x14ac:dyDescent="0.25">
      <c r="A28" s="2074"/>
      <c r="B28" s="2074"/>
      <c r="C28" s="2074"/>
      <c r="D28" s="2074"/>
      <c r="E28" s="2074"/>
      <c r="F28" s="2074"/>
      <c r="G28" s="2074"/>
      <c r="H28" s="2074"/>
      <c r="I28" s="2086"/>
      <c r="J28" s="2087"/>
      <c r="K28" s="2087"/>
      <c r="L28" s="2087"/>
      <c r="M28" s="2087"/>
      <c r="N28" s="2087"/>
      <c r="O28" s="2087"/>
      <c r="P28" s="2087"/>
      <c r="Q28" s="2087"/>
      <c r="R28" s="2087"/>
      <c r="S28" s="2088"/>
      <c r="T28" s="69"/>
    </row>
    <row r="29" spans="1:20" s="800" customFormat="1" ht="6.75" customHeight="1" x14ac:dyDescent="0.2">
      <c r="A29" s="394"/>
      <c r="B29" s="395"/>
      <c r="C29" s="395"/>
      <c r="D29" s="395"/>
      <c r="E29" s="396"/>
      <c r="F29" s="396"/>
      <c r="G29" s="397"/>
      <c r="H29" s="397"/>
      <c r="I29" s="661"/>
      <c r="J29" s="662"/>
      <c r="K29" s="169"/>
      <c r="L29" s="662"/>
      <c r="M29" s="336"/>
      <c r="N29" s="663"/>
      <c r="O29" s="663"/>
      <c r="P29" s="663"/>
      <c r="Q29" s="663"/>
      <c r="R29" s="336"/>
      <c r="S29" s="664"/>
      <c r="T29" s="1015"/>
    </row>
    <row r="30" spans="1:20" s="800" customFormat="1" ht="6.75" customHeight="1" x14ac:dyDescent="0.2">
      <c r="A30" s="671"/>
      <c r="B30" s="672"/>
      <c r="C30" s="672"/>
      <c r="D30" s="672"/>
      <c r="E30" s="673"/>
      <c r="F30" s="673"/>
      <c r="G30" s="674"/>
      <c r="H30" s="674"/>
      <c r="I30" s="675"/>
      <c r="J30" s="676"/>
      <c r="K30" s="672"/>
      <c r="L30" s="676"/>
      <c r="M30" s="672"/>
      <c r="N30" s="677"/>
      <c r="O30" s="677"/>
      <c r="P30" s="677"/>
      <c r="Q30" s="677"/>
      <c r="R30" s="676"/>
      <c r="S30" s="678"/>
      <c r="T30" s="1015"/>
    </row>
    <row r="31" spans="1:20" s="800" customFormat="1" ht="26.25" customHeight="1" x14ac:dyDescent="0.2">
      <c r="A31" s="2092" t="s">
        <v>602</v>
      </c>
      <c r="B31" s="336" t="s">
        <v>250</v>
      </c>
      <c r="C31" s="336"/>
      <c r="D31" s="336"/>
      <c r="E31" s="336"/>
      <c r="F31" s="336"/>
      <c r="G31" s="336"/>
      <c r="H31" s="336"/>
      <c r="I31" s="336"/>
      <c r="J31" s="336"/>
      <c r="K31" s="336"/>
      <c r="L31" s="336"/>
      <c r="M31" s="432"/>
      <c r="N31" s="415">
        <f>+'PR_Cash Reconciliation_5A'!M26</f>
        <v>83233.88</v>
      </c>
      <c r="O31" s="1181"/>
      <c r="P31" s="1181"/>
      <c r="Q31" s="1181"/>
      <c r="R31" s="433"/>
      <c r="S31" s="434"/>
      <c r="T31" s="1015"/>
    </row>
    <row r="32" spans="1:20" s="800" customFormat="1" ht="26.25" customHeight="1" x14ac:dyDescent="0.2">
      <c r="A32" s="2093"/>
      <c r="B32" s="658"/>
      <c r="C32" s="658"/>
      <c r="D32" s="658"/>
      <c r="E32" s="276"/>
      <c r="F32" s="276"/>
      <c r="G32" s="276"/>
      <c r="H32" s="276"/>
      <c r="I32" s="276"/>
      <c r="J32" s="276"/>
      <c r="K32" s="276"/>
      <c r="L32" s="276"/>
      <c r="M32" s="169"/>
      <c r="N32" s="811"/>
      <c r="O32" s="830"/>
      <c r="P32" s="830"/>
      <c r="Q32" s="830"/>
      <c r="R32" s="424"/>
      <c r="S32" s="431"/>
      <c r="T32" s="1015"/>
    </row>
    <row r="33" spans="1:20" s="800" customFormat="1" ht="26.25" customHeight="1" x14ac:dyDescent="0.2">
      <c r="A33" s="2093"/>
      <c r="B33" s="276" t="s">
        <v>212</v>
      </c>
      <c r="C33" s="326"/>
      <c r="D33" s="326"/>
      <c r="E33" s="365"/>
      <c r="F33" s="276"/>
      <c r="G33" s="276"/>
      <c r="H33" s="276"/>
      <c r="I33" s="354"/>
      <c r="J33" s="354"/>
      <c r="K33" s="354"/>
      <c r="L33" s="276"/>
      <c r="M33" s="318"/>
      <c r="N33" s="416"/>
      <c r="O33" s="1159"/>
      <c r="P33" s="1159"/>
      <c r="Q33" s="1159"/>
      <c r="R33" s="424"/>
      <c r="S33" s="431"/>
      <c r="T33" s="1015"/>
    </row>
    <row r="34" spans="1:20" s="800" customFormat="1" ht="26.25" customHeight="1" x14ac:dyDescent="0.25">
      <c r="A34" s="364"/>
      <c r="B34" s="1264" t="s">
        <v>213</v>
      </c>
      <c r="C34" s="92"/>
      <c r="D34" s="92"/>
      <c r="E34" s="92"/>
      <c r="F34" s="1265"/>
      <c r="G34" s="1264"/>
      <c r="H34" s="2094"/>
      <c r="I34" s="2095"/>
      <c r="J34" s="2095"/>
      <c r="K34" s="2095"/>
      <c r="L34" s="2095"/>
      <c r="M34" s="2095"/>
      <c r="N34" s="416"/>
      <c r="O34" s="1159"/>
      <c r="P34" s="1159"/>
      <c r="Q34" s="1159"/>
      <c r="R34" s="435"/>
      <c r="S34" s="409">
        <f>+N31+N33+N34</f>
        <v>83233.88</v>
      </c>
      <c r="T34" s="1018"/>
    </row>
    <row r="35" spans="1:20" s="800" customFormat="1" ht="21" customHeight="1" x14ac:dyDescent="0.2">
      <c r="A35" s="679"/>
      <c r="B35" s="315"/>
      <c r="C35" s="672"/>
      <c r="D35" s="672"/>
      <c r="E35" s="672"/>
      <c r="F35" s="680"/>
      <c r="G35" s="680"/>
      <c r="H35" s="315"/>
      <c r="I35" s="672"/>
      <c r="J35" s="315"/>
      <c r="K35" s="672"/>
      <c r="L35" s="1363"/>
      <c r="M35" s="315"/>
      <c r="N35" s="1364"/>
      <c r="O35" s="1365"/>
      <c r="P35" s="1365"/>
      <c r="Q35" s="1365"/>
      <c r="R35" s="1365"/>
      <c r="S35" s="1366"/>
    </row>
    <row r="36" spans="1:20" s="800" customFormat="1" ht="26.25" customHeight="1" thickBot="1" x14ac:dyDescent="0.3">
      <c r="A36" s="169" t="s">
        <v>214</v>
      </c>
      <c r="B36" s="169"/>
      <c r="C36" s="169"/>
      <c r="D36" s="169"/>
      <c r="E36" s="169"/>
      <c r="F36" s="169"/>
      <c r="G36" s="169"/>
      <c r="H36" s="169"/>
      <c r="I36" s="169"/>
      <c r="J36" s="169"/>
      <c r="K36" s="169"/>
      <c r="L36" s="336"/>
      <c r="M36" s="336"/>
      <c r="N36" s="433"/>
      <c r="O36" s="436"/>
      <c r="P36" s="436"/>
      <c r="Q36" s="436"/>
      <c r="R36" s="436"/>
      <c r="S36" s="419">
        <f>IF(S20=0,0,IF(S20-S34&lt;0,0,S20-S34))</f>
        <v>432578.24</v>
      </c>
      <c r="T36" s="1362"/>
    </row>
    <row r="37" spans="1:20" s="800" customFormat="1" ht="9.75" customHeight="1" thickTop="1" x14ac:dyDescent="0.2">
      <c r="A37" s="322"/>
      <c r="B37" s="322"/>
      <c r="C37" s="322"/>
      <c r="D37" s="322"/>
      <c r="E37" s="322"/>
      <c r="F37" s="322"/>
      <c r="G37" s="322"/>
      <c r="H37" s="322"/>
      <c r="I37" s="333"/>
      <c r="J37" s="322"/>
      <c r="K37" s="322"/>
      <c r="L37" s="322"/>
      <c r="M37" s="322"/>
      <c r="N37" s="322"/>
      <c r="O37" s="317"/>
      <c r="P37" s="317"/>
      <c r="Q37" s="317"/>
      <c r="R37" s="317"/>
      <c r="S37" s="191"/>
      <c r="T37" s="1015"/>
    </row>
    <row r="38" spans="1:20" s="800" customFormat="1" ht="26.25" customHeight="1" x14ac:dyDescent="0.2">
      <c r="A38" s="329" t="s">
        <v>215</v>
      </c>
      <c r="B38" s="322"/>
      <c r="C38" s="322"/>
      <c r="D38" s="322"/>
      <c r="E38" s="322"/>
      <c r="F38" s="322"/>
      <c r="G38" s="322"/>
      <c r="H38" s="332"/>
      <c r="I38" s="279" t="s">
        <v>365</v>
      </c>
      <c r="J38" s="328"/>
      <c r="K38" s="322"/>
      <c r="L38" s="322"/>
      <c r="M38" s="322"/>
      <c r="N38" s="322"/>
      <c r="O38" s="317"/>
      <c r="P38" s="317"/>
      <c r="Q38" s="317"/>
      <c r="R38" s="317"/>
      <c r="S38" s="317"/>
      <c r="T38" s="1015"/>
    </row>
    <row r="39" spans="1:20" s="800" customFormat="1" ht="11.25" customHeight="1" x14ac:dyDescent="0.2">
      <c r="A39" s="329"/>
      <c r="B39" s="322"/>
      <c r="C39" s="322"/>
      <c r="D39" s="322"/>
      <c r="E39" s="322"/>
      <c r="F39" s="322"/>
      <c r="G39" s="322"/>
      <c r="H39" s="322"/>
      <c r="I39" s="48"/>
      <c r="J39" s="323"/>
      <c r="K39" s="322"/>
      <c r="L39" s="322"/>
      <c r="M39" s="322"/>
      <c r="N39" s="323"/>
      <c r="O39" s="324"/>
      <c r="P39" s="324"/>
      <c r="Q39" s="324"/>
      <c r="R39" s="317"/>
      <c r="S39" s="317"/>
      <c r="T39" s="1015"/>
    </row>
    <row r="40" spans="1:20" s="800" customFormat="1" ht="26.25" customHeight="1" thickBot="1" x14ac:dyDescent="0.3">
      <c r="A40" s="659" t="s">
        <v>216</v>
      </c>
      <c r="B40" s="322"/>
      <c r="C40" s="322"/>
      <c r="D40" s="322"/>
      <c r="E40" s="322"/>
      <c r="F40" s="330"/>
      <c r="G40" s="557"/>
      <c r="H40" s="331"/>
      <c r="I40" s="1267" t="s">
        <v>317</v>
      </c>
      <c r="J40" s="365"/>
      <c r="K40" s="365"/>
      <c r="L40" s="354"/>
      <c r="M40" s="1268"/>
      <c r="N40" s="1269"/>
      <c r="O40" s="1269"/>
      <c r="P40" s="1269"/>
      <c r="Q40" s="1269"/>
      <c r="R40" s="1269"/>
      <c r="S40" s="1268"/>
      <c r="T40" s="1015"/>
    </row>
    <row r="41" spans="1:20" s="800" customFormat="1" ht="36" customHeight="1" thickBot="1" x14ac:dyDescent="0.25">
      <c r="A41" s="658"/>
      <c r="B41" s="1266" t="s">
        <v>570</v>
      </c>
      <c r="C41" s="1266"/>
      <c r="D41" s="1266"/>
      <c r="E41" s="354"/>
      <c r="F41" s="812"/>
      <c r="G41" s="1399">
        <v>45.7</v>
      </c>
      <c r="H41" s="813"/>
      <c r="I41" s="2080" t="s">
        <v>716</v>
      </c>
      <c r="J41" s="2081"/>
      <c r="K41" s="2081"/>
      <c r="L41" s="2082"/>
      <c r="M41" s="324"/>
      <c r="N41" s="323"/>
      <c r="O41" s="324"/>
      <c r="P41" s="324"/>
      <c r="Q41" s="324"/>
      <c r="R41" s="324"/>
      <c r="S41" s="324"/>
      <c r="T41" s="1015"/>
    </row>
    <row r="42" spans="1:20" s="800" customFormat="1" ht="9.75" customHeight="1" thickBot="1" x14ac:dyDescent="0.25">
      <c r="A42" s="658"/>
      <c r="B42" s="815"/>
      <c r="C42" s="815"/>
      <c r="D42" s="815"/>
      <c r="E42" s="276"/>
      <c r="F42" s="319"/>
      <c r="G42" s="814"/>
      <c r="H42" s="191"/>
      <c r="I42" s="710"/>
      <c r="J42" s="710"/>
      <c r="K42" s="710"/>
      <c r="L42" s="710"/>
      <c r="M42" s="323"/>
      <c r="N42" s="323"/>
      <c r="O42" s="324"/>
      <c r="P42" s="324"/>
      <c r="Q42" s="324"/>
      <c r="R42" s="324"/>
      <c r="S42" s="324"/>
      <c r="T42" s="1015"/>
    </row>
    <row r="43" spans="1:20" s="800" customFormat="1" ht="36" customHeight="1" thickBot="1" x14ac:dyDescent="0.25">
      <c r="A43" s="257"/>
      <c r="B43" s="1266" t="s">
        <v>571</v>
      </c>
      <c r="C43" s="1266"/>
      <c r="D43" s="1266"/>
      <c r="E43" s="354"/>
      <c r="F43" s="812"/>
      <c r="G43" s="1399">
        <v>45.7</v>
      </c>
      <c r="H43" s="813"/>
      <c r="I43" s="2080" t="s">
        <v>717</v>
      </c>
      <c r="J43" s="2081"/>
      <c r="K43" s="2081"/>
      <c r="L43" s="2082"/>
      <c r="M43" s="324"/>
      <c r="N43" s="323"/>
      <c r="O43" s="324"/>
      <c r="P43" s="324"/>
      <c r="Q43" s="324"/>
      <c r="R43" s="324"/>
      <c r="S43" s="324"/>
      <c r="T43" s="1015"/>
    </row>
    <row r="44" spans="1:20" s="800" customFormat="1" ht="9.75" customHeight="1" thickBot="1" x14ac:dyDescent="0.25">
      <c r="A44" s="257"/>
      <c r="B44" s="815"/>
      <c r="C44" s="815"/>
      <c r="D44" s="815"/>
      <c r="E44" s="276"/>
      <c r="F44" s="276"/>
      <c r="G44" s="1400"/>
      <c r="H44" s="319"/>
      <c r="I44" s="710"/>
      <c r="J44" s="710"/>
      <c r="K44" s="710"/>
      <c r="L44" s="710"/>
      <c r="M44" s="323"/>
      <c r="N44" s="323"/>
      <c r="O44" s="324"/>
      <c r="P44" s="324"/>
      <c r="Q44" s="324"/>
      <c r="R44" s="324"/>
      <c r="S44" s="324"/>
      <c r="T44" s="1015"/>
    </row>
    <row r="45" spans="1:20" s="800" customFormat="1" ht="35.25" customHeight="1" thickBot="1" x14ac:dyDescent="0.25">
      <c r="A45" s="257"/>
      <c r="B45" s="2089" t="s">
        <v>404</v>
      </c>
      <c r="C45" s="2090"/>
      <c r="D45" s="2090"/>
      <c r="E45" s="2091"/>
      <c r="F45" s="1293"/>
      <c r="G45" s="1399">
        <v>45.7</v>
      </c>
      <c r="H45" s="1294"/>
      <c r="I45" s="2080" t="s">
        <v>718</v>
      </c>
      <c r="J45" s="2081"/>
      <c r="K45" s="2081"/>
      <c r="L45" s="2082"/>
      <c r="M45" s="1017"/>
      <c r="N45" s="1016"/>
      <c r="O45" s="1017"/>
      <c r="P45" s="1017"/>
      <c r="Q45" s="1017"/>
      <c r="R45" s="1017"/>
      <c r="S45" s="1017"/>
      <c r="T45" s="1018"/>
    </row>
    <row r="46" spans="1:20" s="800" customFormat="1" ht="6" customHeight="1" x14ac:dyDescent="0.2">
      <c r="A46" s="1292"/>
      <c r="B46" s="1295"/>
      <c r="C46" s="1295"/>
      <c r="D46" s="1295"/>
      <c r="E46" s="169"/>
      <c r="F46" s="660"/>
      <c r="G46" s="660"/>
      <c r="H46" s="660"/>
      <c r="I46" s="1296"/>
      <c r="J46" s="1296"/>
      <c r="K46" s="1296"/>
      <c r="L46" s="1296"/>
      <c r="M46" s="1296"/>
      <c r="N46" s="1296"/>
      <c r="O46" s="1296"/>
      <c r="P46" s="1296"/>
      <c r="Q46" s="1296"/>
      <c r="R46" s="1296"/>
      <c r="S46" s="1296"/>
    </row>
    <row r="47" spans="1:20" ht="14.25" x14ac:dyDescent="0.2">
      <c r="A47" s="1019"/>
      <c r="B47" s="552"/>
      <c r="C47" s="552"/>
      <c r="D47" s="552"/>
      <c r="E47" s="552"/>
      <c r="F47" s="1019"/>
      <c r="G47" s="1019"/>
      <c r="H47" s="1019"/>
      <c r="I47" s="2"/>
      <c r="J47" s="2"/>
      <c r="K47" s="2"/>
      <c r="L47" s="2"/>
      <c r="M47" s="2"/>
      <c r="N47" s="2"/>
      <c r="O47" s="2"/>
      <c r="P47" s="2"/>
      <c r="Q47" s="2"/>
      <c r="R47" s="2"/>
      <c r="S47" s="2"/>
      <c r="T47" s="69"/>
    </row>
    <row r="48" spans="1:20" ht="14.25" x14ac:dyDescent="0.2">
      <c r="A48" s="1020"/>
      <c r="B48" s="88"/>
      <c r="C48" s="88"/>
      <c r="D48" s="88"/>
      <c r="E48" s="88"/>
      <c r="F48" s="1020"/>
      <c r="G48" s="1020"/>
      <c r="H48" s="1020"/>
      <c r="I48" s="69"/>
      <c r="J48" s="69"/>
      <c r="K48" s="69"/>
      <c r="L48" s="69"/>
      <c r="M48" s="69"/>
      <c r="N48" s="69"/>
      <c r="O48" s="69"/>
      <c r="P48" s="69"/>
      <c r="Q48" s="69"/>
      <c r="R48" s="69"/>
      <c r="S48" s="69"/>
      <c r="T48" s="69"/>
    </row>
    <row r="49" spans="1:20" ht="14.25" x14ac:dyDescent="0.2">
      <c r="A49" s="1020"/>
      <c r="B49" s="88"/>
      <c r="C49" s="88"/>
      <c r="D49" s="88"/>
      <c r="E49" s="88"/>
      <c r="F49" s="1020"/>
      <c r="G49" s="1020"/>
      <c r="H49" s="1020"/>
      <c r="I49" s="69"/>
      <c r="J49" s="69"/>
      <c r="K49" s="69"/>
      <c r="L49" s="69"/>
      <c r="M49" s="69"/>
      <c r="N49" s="69"/>
      <c r="O49" s="69"/>
      <c r="P49" s="69"/>
      <c r="Q49" s="69"/>
      <c r="R49" s="69"/>
      <c r="S49" s="69"/>
      <c r="T49" s="69"/>
    </row>
    <row r="50" spans="1:20" ht="14.25" x14ac:dyDescent="0.2">
      <c r="A50" s="1020"/>
      <c r="B50" s="88"/>
      <c r="C50" s="88"/>
      <c r="D50" s="88"/>
      <c r="E50" s="88"/>
      <c r="F50" s="1020"/>
      <c r="G50" s="1020"/>
      <c r="H50" s="1020"/>
      <c r="I50" s="69"/>
      <c r="J50" s="69"/>
      <c r="K50" s="69"/>
      <c r="L50" s="69"/>
      <c r="M50" s="69"/>
      <c r="N50" s="69"/>
      <c r="O50" s="69"/>
      <c r="P50" s="69"/>
      <c r="Q50" s="69"/>
      <c r="R50" s="69"/>
      <c r="S50" s="69"/>
      <c r="T50" s="69"/>
    </row>
    <row r="51" spans="1:20" ht="14.25" x14ac:dyDescent="0.2">
      <c r="A51" s="1020"/>
      <c r="B51" s="88"/>
      <c r="C51" s="88"/>
      <c r="D51" s="88"/>
      <c r="E51" s="88"/>
      <c r="F51" s="1020"/>
      <c r="G51" s="1020"/>
      <c r="H51" s="1020"/>
      <c r="I51" s="69"/>
      <c r="J51" s="69"/>
      <c r="K51" s="69"/>
      <c r="L51" s="69"/>
      <c r="M51" s="69"/>
      <c r="N51" s="69"/>
      <c r="O51" s="69"/>
      <c r="P51" s="69"/>
      <c r="Q51" s="69"/>
      <c r="R51" s="69"/>
      <c r="S51" s="69"/>
      <c r="T51" s="69"/>
    </row>
    <row r="52" spans="1:20" x14ac:dyDescent="0.2">
      <c r="A52" s="1020"/>
      <c r="B52" s="1020"/>
      <c r="C52" s="1020"/>
      <c r="D52" s="1020"/>
      <c r="E52" s="1020"/>
      <c r="F52" s="1020"/>
      <c r="G52" s="1020"/>
      <c r="H52" s="1020"/>
      <c r="I52" s="69"/>
      <c r="J52" s="69"/>
      <c r="K52" s="69"/>
      <c r="L52" s="69"/>
      <c r="M52" s="69"/>
      <c r="N52" s="69"/>
      <c r="O52" s="69"/>
      <c r="P52" s="69"/>
      <c r="Q52" s="69"/>
      <c r="R52" s="69"/>
      <c r="S52" s="69"/>
      <c r="T52" s="69"/>
    </row>
    <row r="53" spans="1:20" x14ac:dyDescent="0.2">
      <c r="A53" s="1020"/>
      <c r="B53" s="1020"/>
      <c r="C53" s="1020"/>
      <c r="D53" s="1020"/>
      <c r="E53" s="1020"/>
      <c r="F53" s="1020"/>
      <c r="G53" s="1020"/>
      <c r="H53" s="1020"/>
      <c r="I53" s="69"/>
      <c r="J53" s="69"/>
      <c r="K53" s="69"/>
      <c r="L53" s="69"/>
      <c r="M53" s="69"/>
      <c r="N53" s="69"/>
      <c r="O53" s="69"/>
      <c r="P53" s="69"/>
      <c r="Q53" s="69"/>
      <c r="R53" s="69"/>
      <c r="S53" s="69"/>
      <c r="T53" s="69"/>
    </row>
    <row r="54" spans="1:20" x14ac:dyDescent="0.2">
      <c r="A54" s="1020"/>
      <c r="B54" s="1020"/>
      <c r="C54" s="1020"/>
      <c r="D54" s="1020"/>
      <c r="E54" s="1020"/>
      <c r="F54" s="1020"/>
      <c r="G54" s="1020"/>
      <c r="H54" s="1020"/>
      <c r="I54" s="69"/>
      <c r="J54" s="69"/>
      <c r="K54" s="69"/>
      <c r="L54" s="69"/>
      <c r="M54" s="69"/>
      <c r="N54" s="69"/>
      <c r="O54" s="69"/>
      <c r="P54" s="69"/>
      <c r="Q54" s="69"/>
      <c r="R54" s="69"/>
      <c r="S54" s="69"/>
      <c r="T54" s="69"/>
    </row>
    <row r="55" spans="1:20" x14ac:dyDescent="0.2">
      <c r="A55" s="69"/>
      <c r="B55" s="69"/>
      <c r="C55" s="69"/>
      <c r="D55" s="69"/>
      <c r="E55" s="69"/>
      <c r="F55" s="69"/>
      <c r="G55" s="69"/>
      <c r="H55" s="69"/>
      <c r="I55" s="69"/>
      <c r="J55" s="69"/>
      <c r="K55" s="69"/>
      <c r="L55" s="69"/>
      <c r="M55" s="69"/>
      <c r="N55" s="69"/>
      <c r="O55" s="69"/>
      <c r="P55" s="69"/>
      <c r="Q55" s="69"/>
      <c r="R55" s="69"/>
      <c r="S55" s="69"/>
      <c r="T55" s="69"/>
    </row>
    <row r="56" spans="1:20" x14ac:dyDescent="0.2">
      <c r="A56" s="69"/>
      <c r="B56" s="69"/>
      <c r="C56" s="69"/>
      <c r="D56" s="69"/>
      <c r="E56" s="69"/>
      <c r="F56" s="69"/>
      <c r="G56" s="69"/>
      <c r="H56" s="69"/>
      <c r="I56" s="69"/>
      <c r="J56" s="69"/>
      <c r="K56" s="69"/>
      <c r="L56" s="69"/>
      <c r="M56" s="69"/>
      <c r="N56" s="69"/>
      <c r="O56" s="69"/>
      <c r="P56" s="69"/>
      <c r="Q56" s="69"/>
      <c r="R56" s="69"/>
      <c r="S56" s="69"/>
      <c r="T56" s="69"/>
    </row>
    <row r="57" spans="1:20" x14ac:dyDescent="0.2">
      <c r="A57" s="69"/>
      <c r="B57" s="69"/>
      <c r="C57" s="69"/>
      <c r="D57" s="69"/>
      <c r="E57" s="69"/>
      <c r="F57" s="69"/>
      <c r="G57" s="69"/>
      <c r="H57" s="69"/>
      <c r="I57" s="69"/>
      <c r="J57" s="69"/>
      <c r="K57" s="69"/>
      <c r="L57" s="69"/>
      <c r="M57" s="69"/>
      <c r="N57" s="69"/>
      <c r="O57" s="69"/>
      <c r="P57" s="69"/>
      <c r="Q57" s="69"/>
      <c r="R57" s="69"/>
      <c r="S57" s="69"/>
      <c r="T57" s="69"/>
    </row>
    <row r="58" spans="1:20" x14ac:dyDescent="0.2">
      <c r="A58" s="69"/>
      <c r="B58" s="69"/>
      <c r="C58" s="69"/>
      <c r="D58" s="69"/>
      <c r="E58" s="69"/>
      <c r="F58" s="69"/>
      <c r="G58" s="69"/>
      <c r="H58" s="69"/>
      <c r="I58" s="69"/>
      <c r="J58" s="69"/>
      <c r="K58" s="69"/>
      <c r="L58" s="69"/>
      <c r="M58" s="69"/>
      <c r="N58" s="69"/>
      <c r="O58" s="69"/>
      <c r="P58" s="69"/>
      <c r="Q58" s="69"/>
      <c r="R58" s="69"/>
      <c r="S58" s="69"/>
      <c r="T58" s="69"/>
    </row>
    <row r="59" spans="1:20" x14ac:dyDescent="0.2">
      <c r="A59" s="69"/>
      <c r="B59" s="69"/>
      <c r="C59" s="69"/>
      <c r="D59" s="69"/>
      <c r="E59" s="69"/>
      <c r="F59" s="69"/>
      <c r="G59" s="69"/>
      <c r="H59" s="69"/>
      <c r="I59" s="69"/>
      <c r="J59" s="69"/>
      <c r="K59" s="69"/>
      <c r="L59" s="69"/>
      <c r="M59" s="69"/>
      <c r="N59" s="69"/>
      <c r="O59" s="69"/>
      <c r="P59" s="69"/>
      <c r="Q59" s="69"/>
      <c r="R59" s="69"/>
      <c r="S59" s="69"/>
      <c r="T59" s="69"/>
    </row>
    <row r="60" spans="1:20" x14ac:dyDescent="0.2">
      <c r="A60" s="69"/>
      <c r="B60" s="69"/>
      <c r="C60" s="69"/>
      <c r="D60" s="69"/>
      <c r="E60" s="69"/>
      <c r="F60" s="69"/>
      <c r="G60" s="69"/>
      <c r="H60" s="69"/>
      <c r="I60" s="69"/>
      <c r="J60" s="69"/>
      <c r="K60" s="69"/>
      <c r="L60" s="69"/>
      <c r="M60" s="69"/>
      <c r="N60" s="69"/>
      <c r="O60" s="69"/>
      <c r="P60" s="69"/>
      <c r="Q60" s="69"/>
      <c r="R60" s="69"/>
      <c r="S60" s="69"/>
      <c r="T60" s="69"/>
    </row>
    <row r="61" spans="1:20" x14ac:dyDescent="0.2">
      <c r="A61" s="69"/>
      <c r="B61" s="69"/>
      <c r="C61" s="69"/>
      <c r="D61" s="69"/>
      <c r="E61" s="69"/>
      <c r="F61" s="69"/>
      <c r="G61" s="69"/>
      <c r="H61" s="69"/>
      <c r="I61" s="69"/>
      <c r="J61" s="69"/>
      <c r="K61" s="69"/>
      <c r="L61" s="69"/>
      <c r="M61" s="69"/>
      <c r="N61" s="69"/>
      <c r="O61" s="69"/>
      <c r="P61" s="69"/>
      <c r="Q61" s="69"/>
      <c r="R61" s="69"/>
      <c r="S61" s="69"/>
      <c r="T61" s="69"/>
    </row>
    <row r="62" spans="1:20" x14ac:dyDescent="0.2">
      <c r="A62" s="69"/>
      <c r="B62" s="69"/>
      <c r="C62" s="69"/>
      <c r="D62" s="69"/>
      <c r="E62" s="69"/>
      <c r="F62" s="69"/>
      <c r="G62" s="69"/>
      <c r="H62" s="69"/>
      <c r="I62" s="69"/>
      <c r="J62" s="69"/>
      <c r="K62" s="69"/>
      <c r="L62" s="69"/>
      <c r="M62" s="69"/>
      <c r="N62" s="69"/>
      <c r="O62" s="69"/>
      <c r="P62" s="69"/>
      <c r="Q62" s="69"/>
      <c r="R62" s="69"/>
      <c r="S62" s="69"/>
      <c r="T62" s="69"/>
    </row>
    <row r="63" spans="1:20" x14ac:dyDescent="0.2">
      <c r="A63" s="69"/>
      <c r="B63" s="69"/>
      <c r="C63" s="69"/>
      <c r="D63" s="69"/>
      <c r="E63" s="69"/>
      <c r="F63" s="69"/>
      <c r="G63" s="69"/>
      <c r="H63" s="69"/>
      <c r="I63" s="69"/>
      <c r="J63" s="69"/>
      <c r="K63" s="69"/>
      <c r="L63" s="69"/>
      <c r="M63" s="69"/>
      <c r="N63" s="69"/>
      <c r="O63" s="69"/>
      <c r="P63" s="69"/>
      <c r="Q63" s="69"/>
      <c r="R63" s="69"/>
      <c r="S63" s="69"/>
      <c r="T63" s="69"/>
    </row>
    <row r="64" spans="1:20" x14ac:dyDescent="0.2">
      <c r="A64" s="69"/>
      <c r="B64" s="69"/>
      <c r="C64" s="69"/>
      <c r="D64" s="69"/>
      <c r="E64" s="69"/>
      <c r="F64" s="69"/>
      <c r="G64" s="69"/>
      <c r="H64" s="69"/>
      <c r="I64" s="69"/>
      <c r="J64" s="69"/>
      <c r="K64" s="69"/>
      <c r="L64" s="69"/>
      <c r="M64" s="69"/>
      <c r="N64" s="69"/>
      <c r="O64" s="69"/>
      <c r="P64" s="69"/>
      <c r="Q64" s="69"/>
      <c r="R64" s="69"/>
      <c r="S64" s="69"/>
      <c r="T64" s="69"/>
    </row>
    <row r="65" spans="1:20" x14ac:dyDescent="0.2">
      <c r="A65" s="69"/>
      <c r="B65" s="69"/>
      <c r="C65" s="69"/>
      <c r="D65" s="69"/>
      <c r="E65" s="69"/>
      <c r="F65" s="69"/>
      <c r="G65" s="69"/>
      <c r="H65" s="69"/>
      <c r="I65" s="69"/>
      <c r="J65" s="69"/>
      <c r="K65" s="69"/>
      <c r="L65" s="69"/>
      <c r="M65" s="69"/>
      <c r="N65" s="69"/>
      <c r="O65" s="69"/>
      <c r="P65" s="69"/>
      <c r="Q65" s="69"/>
      <c r="R65" s="69"/>
      <c r="S65" s="69"/>
      <c r="T65" s="69"/>
    </row>
    <row r="66" spans="1:20" x14ac:dyDescent="0.2">
      <c r="A66" s="69"/>
      <c r="B66" s="69"/>
      <c r="C66" s="69"/>
      <c r="D66" s="69"/>
      <c r="E66" s="69"/>
      <c r="F66" s="69"/>
      <c r="G66" s="69"/>
      <c r="H66" s="69"/>
      <c r="I66" s="69"/>
      <c r="J66" s="69"/>
      <c r="K66" s="69"/>
      <c r="L66" s="69"/>
      <c r="M66" s="69"/>
      <c r="N66" s="69"/>
      <c r="O66" s="69"/>
      <c r="P66" s="69"/>
      <c r="Q66" s="69"/>
      <c r="R66" s="69"/>
      <c r="S66" s="69"/>
      <c r="T66" s="69"/>
    </row>
    <row r="67" spans="1:20" x14ac:dyDescent="0.2">
      <c r="A67" s="69"/>
      <c r="B67" s="69"/>
      <c r="C67" s="69"/>
      <c r="D67" s="69"/>
      <c r="E67" s="69"/>
      <c r="F67" s="69"/>
      <c r="G67" s="69"/>
      <c r="H67" s="69"/>
      <c r="I67" s="69"/>
      <c r="J67" s="69"/>
      <c r="K67" s="69"/>
      <c r="L67" s="69"/>
      <c r="M67" s="69"/>
      <c r="N67" s="69"/>
      <c r="O67" s="69"/>
      <c r="P67" s="69"/>
      <c r="Q67" s="69"/>
      <c r="R67" s="69"/>
      <c r="S67" s="69"/>
      <c r="T67" s="69"/>
    </row>
    <row r="68" spans="1:20" x14ac:dyDescent="0.2">
      <c r="A68" s="69"/>
      <c r="B68" s="69"/>
      <c r="C68" s="69"/>
      <c r="D68" s="69"/>
      <c r="E68" s="69"/>
      <c r="F68" s="69"/>
      <c r="G68" s="69"/>
      <c r="H68" s="69"/>
      <c r="I68" s="69"/>
      <c r="J68" s="69"/>
      <c r="K68" s="69"/>
      <c r="L68" s="69"/>
      <c r="M68" s="69"/>
      <c r="N68" s="69"/>
      <c r="O68" s="69"/>
      <c r="P68" s="69"/>
      <c r="Q68" s="69"/>
      <c r="R68" s="69"/>
      <c r="S68" s="69"/>
      <c r="T68" s="69"/>
    </row>
    <row r="69" spans="1:20" x14ac:dyDescent="0.2">
      <c r="A69" s="69"/>
      <c r="B69" s="69"/>
      <c r="C69" s="69"/>
      <c r="D69" s="69"/>
      <c r="E69" s="69"/>
      <c r="F69" s="69"/>
      <c r="G69" s="69"/>
      <c r="H69" s="69"/>
      <c r="I69" s="69"/>
      <c r="J69" s="69"/>
      <c r="K69" s="69"/>
      <c r="L69" s="69"/>
      <c r="M69" s="69"/>
      <c r="N69" s="69"/>
      <c r="O69" s="69"/>
      <c r="P69" s="69"/>
      <c r="Q69" s="69"/>
      <c r="R69" s="69"/>
      <c r="S69" s="69"/>
      <c r="T69" s="69"/>
    </row>
    <row r="70" spans="1:20" x14ac:dyDescent="0.2">
      <c r="A70" s="69"/>
      <c r="B70" s="69"/>
      <c r="C70" s="69"/>
      <c r="D70" s="69"/>
      <c r="E70" s="69"/>
      <c r="F70" s="69"/>
      <c r="G70" s="69"/>
      <c r="H70" s="69"/>
      <c r="I70" s="69"/>
      <c r="J70" s="69"/>
      <c r="K70" s="69"/>
      <c r="L70" s="69"/>
      <c r="M70" s="69"/>
      <c r="N70" s="69"/>
      <c r="O70" s="69"/>
      <c r="P70" s="69"/>
      <c r="Q70" s="69"/>
      <c r="R70" s="69"/>
      <c r="S70" s="69"/>
      <c r="T70" s="69"/>
    </row>
    <row r="71" spans="1:20" x14ac:dyDescent="0.2">
      <c r="A71" s="69"/>
      <c r="B71" s="69"/>
      <c r="C71" s="69"/>
      <c r="D71" s="69"/>
      <c r="E71" s="69"/>
      <c r="F71" s="69"/>
      <c r="G71" s="69"/>
      <c r="H71" s="69"/>
      <c r="I71" s="69"/>
      <c r="J71" s="69"/>
      <c r="K71" s="69"/>
      <c r="L71" s="69"/>
      <c r="M71" s="69"/>
      <c r="N71" s="69"/>
      <c r="O71" s="69"/>
      <c r="P71" s="69"/>
      <c r="Q71" s="69"/>
      <c r="R71" s="69"/>
      <c r="S71" s="69"/>
      <c r="T71" s="69"/>
    </row>
    <row r="72" spans="1:20" x14ac:dyDescent="0.2">
      <c r="A72" s="69"/>
      <c r="B72" s="69"/>
      <c r="C72" s="69"/>
      <c r="D72" s="69"/>
      <c r="E72" s="69"/>
      <c r="F72" s="69"/>
      <c r="G72" s="69"/>
      <c r="H72" s="69"/>
      <c r="I72" s="69"/>
      <c r="J72" s="69"/>
      <c r="K72" s="69"/>
      <c r="L72" s="69"/>
      <c r="M72" s="69"/>
      <c r="N72" s="69"/>
      <c r="O72" s="69"/>
      <c r="P72" s="69"/>
      <c r="Q72" s="69"/>
      <c r="R72" s="69"/>
      <c r="S72" s="69"/>
      <c r="T72" s="69"/>
    </row>
    <row r="73" spans="1:20" x14ac:dyDescent="0.2">
      <c r="A73" s="69"/>
      <c r="B73" s="69"/>
      <c r="C73" s="69"/>
      <c r="D73" s="69"/>
      <c r="E73" s="69"/>
      <c r="F73" s="69"/>
      <c r="G73" s="69"/>
      <c r="H73" s="69"/>
      <c r="I73" s="69"/>
      <c r="J73" s="69"/>
      <c r="K73" s="69"/>
      <c r="L73" s="69"/>
      <c r="M73" s="69"/>
      <c r="N73" s="69"/>
      <c r="O73" s="69"/>
      <c r="P73" s="69"/>
      <c r="Q73" s="69"/>
      <c r="R73" s="69"/>
      <c r="S73" s="69"/>
      <c r="T73" s="69"/>
    </row>
    <row r="74" spans="1:20" x14ac:dyDescent="0.2">
      <c r="A74" s="69"/>
      <c r="B74" s="69"/>
      <c r="C74" s="69"/>
      <c r="D74" s="69"/>
      <c r="E74" s="69"/>
      <c r="F74" s="69"/>
      <c r="G74" s="69"/>
      <c r="H74" s="69"/>
      <c r="I74" s="69"/>
      <c r="J74" s="69"/>
      <c r="K74" s="69"/>
      <c r="L74" s="69"/>
      <c r="M74" s="69"/>
      <c r="N74" s="69"/>
      <c r="O74" s="69"/>
      <c r="P74" s="69"/>
      <c r="Q74" s="69"/>
      <c r="R74" s="69"/>
      <c r="S74" s="69"/>
      <c r="T74" s="69"/>
    </row>
    <row r="75" spans="1:20" x14ac:dyDescent="0.2">
      <c r="A75" s="69"/>
      <c r="B75" s="69"/>
      <c r="C75" s="69"/>
      <c r="D75" s="69"/>
      <c r="E75" s="69"/>
      <c r="F75" s="69"/>
      <c r="G75" s="69"/>
      <c r="H75" s="69"/>
      <c r="I75" s="69"/>
      <c r="J75" s="69"/>
      <c r="K75" s="69"/>
      <c r="L75" s="69"/>
      <c r="M75" s="69"/>
      <c r="N75" s="69"/>
      <c r="O75" s="69"/>
      <c r="P75" s="69"/>
      <c r="Q75" s="69"/>
      <c r="R75" s="69"/>
      <c r="S75" s="69"/>
      <c r="T75" s="69"/>
    </row>
    <row r="76" spans="1:20" x14ac:dyDescent="0.2">
      <c r="A76" s="69"/>
      <c r="B76" s="69"/>
      <c r="C76" s="69"/>
      <c r="D76" s="69"/>
      <c r="E76" s="69"/>
      <c r="F76" s="69"/>
      <c r="G76" s="69"/>
      <c r="H76" s="69"/>
      <c r="I76" s="69"/>
      <c r="J76" s="69"/>
      <c r="K76" s="69"/>
      <c r="L76" s="69"/>
      <c r="M76" s="69"/>
      <c r="N76" s="69"/>
      <c r="O76" s="69"/>
      <c r="P76" s="69"/>
      <c r="Q76" s="69"/>
      <c r="R76" s="69"/>
      <c r="S76" s="69"/>
      <c r="T76" s="69"/>
    </row>
    <row r="77" spans="1:20" x14ac:dyDescent="0.2">
      <c r="A77" s="69"/>
      <c r="B77" s="69"/>
      <c r="C77" s="69"/>
      <c r="D77" s="69"/>
      <c r="E77" s="69"/>
      <c r="F77" s="69"/>
      <c r="G77" s="69"/>
      <c r="H77" s="69"/>
      <c r="I77" s="69"/>
      <c r="J77" s="69"/>
      <c r="K77" s="69"/>
      <c r="L77" s="69"/>
      <c r="M77" s="69"/>
      <c r="N77" s="69"/>
      <c r="O77" s="69"/>
      <c r="P77" s="69"/>
      <c r="Q77" s="69"/>
      <c r="R77" s="69"/>
      <c r="S77" s="69"/>
      <c r="T77" s="69"/>
    </row>
    <row r="78" spans="1:20" x14ac:dyDescent="0.2">
      <c r="A78" s="69"/>
      <c r="B78" s="69"/>
      <c r="C78" s="69"/>
      <c r="D78" s="69"/>
      <c r="E78" s="69"/>
      <c r="F78" s="69"/>
      <c r="G78" s="69"/>
      <c r="H78" s="69"/>
      <c r="I78" s="69"/>
      <c r="J78" s="69"/>
      <c r="K78" s="69"/>
      <c r="L78" s="69"/>
      <c r="M78" s="69"/>
      <c r="N78" s="69"/>
      <c r="O78" s="69"/>
      <c r="P78" s="69"/>
      <c r="Q78" s="69"/>
      <c r="R78" s="69"/>
      <c r="S78" s="69"/>
      <c r="T78" s="69"/>
    </row>
    <row r="79" spans="1:20" x14ac:dyDescent="0.2">
      <c r="A79" s="69"/>
      <c r="B79" s="69"/>
      <c r="C79" s="69"/>
      <c r="D79" s="69"/>
      <c r="E79" s="69"/>
      <c r="F79" s="69"/>
      <c r="G79" s="69"/>
      <c r="H79" s="69"/>
      <c r="I79" s="69"/>
      <c r="J79" s="69"/>
      <c r="K79" s="69"/>
      <c r="L79" s="69"/>
      <c r="M79" s="69"/>
      <c r="N79" s="69"/>
      <c r="O79" s="69"/>
      <c r="P79" s="69"/>
      <c r="Q79" s="69"/>
      <c r="R79" s="69"/>
      <c r="S79" s="69"/>
      <c r="T79" s="69"/>
    </row>
    <row r="80" spans="1:20" x14ac:dyDescent="0.2">
      <c r="A80" s="69"/>
      <c r="B80" s="69"/>
      <c r="C80" s="69"/>
      <c r="D80" s="69"/>
      <c r="E80" s="69"/>
      <c r="F80" s="69"/>
      <c r="G80" s="69"/>
      <c r="H80" s="69"/>
      <c r="I80" s="69"/>
      <c r="J80" s="69"/>
      <c r="K80" s="69"/>
      <c r="L80" s="69"/>
      <c r="M80" s="69"/>
      <c r="N80" s="69"/>
      <c r="O80" s="69"/>
      <c r="P80" s="69"/>
      <c r="Q80" s="69"/>
      <c r="R80" s="69"/>
      <c r="S80" s="69"/>
      <c r="T80" s="69"/>
    </row>
  </sheetData>
  <sheetProtection password="92D1" sheet="1" formatCells="0" formatColumns="0" formatRows="0"/>
  <mergeCells count="17">
    <mergeCell ref="I45:L45"/>
    <mergeCell ref="I27:S28"/>
    <mergeCell ref="B45:E45"/>
    <mergeCell ref="A31:A33"/>
    <mergeCell ref="H34:M34"/>
    <mergeCell ref="I41:L41"/>
    <mergeCell ref="I43:L43"/>
    <mergeCell ref="D7:I7"/>
    <mergeCell ref="A27:H28"/>
    <mergeCell ref="A1:J1"/>
    <mergeCell ref="A3:E3"/>
    <mergeCell ref="F3:I3"/>
    <mergeCell ref="F6:I6"/>
    <mergeCell ref="A25:T25"/>
    <mergeCell ref="A24:T24"/>
    <mergeCell ref="A11:S11"/>
    <mergeCell ref="A12:S12"/>
  </mergeCells>
  <phoneticPr fontId="37" type="noConversion"/>
  <conditionalFormatting sqref="E16">
    <cfRule type="cellIs" dxfId="80" priority="6" stopIfTrue="1" operator="equal">
      <formula>$S$5</formula>
    </cfRule>
  </conditionalFormatting>
  <conditionalFormatting sqref="H16">
    <cfRule type="cellIs" dxfId="79" priority="5" stopIfTrue="1" operator="equal">
      <formula>$S$5</formula>
    </cfRule>
  </conditionalFormatting>
  <conditionalFormatting sqref="E18">
    <cfRule type="cellIs" dxfId="78" priority="4" stopIfTrue="1" operator="equal">
      <formula>$S$5</formula>
    </cfRule>
  </conditionalFormatting>
  <conditionalFormatting sqref="H18">
    <cfRule type="cellIs" dxfId="77" priority="3" stopIfTrue="1" operator="equal">
      <formula>$S$5</formula>
    </cfRule>
  </conditionalFormatting>
  <conditionalFormatting sqref="E22">
    <cfRule type="cellIs" dxfId="76" priority="2" stopIfTrue="1" operator="equal">
      <formula>$S$5</formula>
    </cfRule>
  </conditionalFormatting>
  <conditionalFormatting sqref="H22">
    <cfRule type="cellIs" dxfId="75" priority="1" stopIfTrue="1" operator="equal">
      <formula>$S$5</formula>
    </cfRule>
  </conditionalFormatting>
  <dataValidations count="3">
    <dataValidation type="list" allowBlank="1" showInputMessage="1" showErrorMessage="1" sqref="I38:I39">
      <formula1>"Select,Yes,No"</formula1>
    </dataValidation>
    <dataValidation type="list" allowBlank="1" showInputMessage="1" showErrorMessage="1" sqref="E2:I2">
      <formula1>"Select,USD,EUR"</formula1>
    </dataValidation>
    <dataValidation type="list" allowBlank="1" showInputMessage="1" showErrorMessage="1" sqref="C21">
      <formula1>"Select ,1M, 2M, 3M"</formula1>
    </dataValidation>
  </dataValidations>
  <printOptions horizontalCentered="1"/>
  <pageMargins left="0.74803149606299213" right="0.74803149606299213" top="0.59055118110236227" bottom="0.59055118110236227" header="0.51181102362204722" footer="0.51181102362204722"/>
  <pageSetup paperSize="9" scale="48" fitToHeight="0" orientation="landscape" cellComments="asDisplayed" r:id="rId1"/>
  <headerFooter alignWithMargins="0">
    <oddFooter>&amp;L&amp;9&amp;F&amp;C&amp;A&amp;R&amp;9Page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67</vt:i4>
      </vt:variant>
    </vt:vector>
  </HeadingPairs>
  <TitlesOfParts>
    <vt:vector size="104" baseType="lpstr">
      <vt:lpstr>Cover Sheet</vt:lpstr>
      <vt:lpstr>PR_Programmatic Progress_1A</vt:lpstr>
      <vt:lpstr>PR_Programmatic Progress_1B</vt:lpstr>
      <vt:lpstr>PR_Grant Management_2</vt:lpstr>
      <vt:lpstr>PR_Total PR Cash Outflow_3A</vt:lpstr>
      <vt:lpstr>EFR HIV AIDS Financial Data_3B</vt:lpstr>
      <vt:lpstr>PR_Procurement Info_4</vt:lpstr>
      <vt:lpstr>PR_Cash Reconciliation_5A</vt:lpstr>
      <vt:lpstr>PR_Disbursement Request_5B</vt:lpstr>
      <vt:lpstr>PR_Overall Performance_6</vt:lpstr>
      <vt:lpstr>PR_Cash Request_7A&amp;B</vt:lpstr>
      <vt:lpstr>PR_Bank Details_7C</vt:lpstr>
      <vt:lpstr>PR_Annex_SR-Financials</vt:lpstr>
      <vt:lpstr>Checklist</vt:lpstr>
      <vt:lpstr>LFA_Programmatic Progress_1A</vt:lpstr>
      <vt:lpstr>LFA_Programmatic Progress_1B</vt:lpstr>
      <vt:lpstr>ANNEXURE A (RATING)</vt:lpstr>
      <vt:lpstr>LFA_Grant Management_2</vt:lpstr>
      <vt:lpstr>LFA_Total PR Cash Outflow_3A</vt:lpstr>
      <vt:lpstr>LFA_EFR Review_3B</vt:lpstr>
      <vt:lpstr>LFA_Procurement Info_4</vt:lpstr>
      <vt:lpstr>LFA_Findings&amp;Recommendations</vt:lpstr>
      <vt:lpstr>LFA_Cash Reconciliation_5A</vt:lpstr>
      <vt:lpstr>Annexure_B_Cashflow</vt:lpstr>
      <vt:lpstr>LFA_Disbursement Recommend_5B</vt:lpstr>
      <vt:lpstr>Sheet1</vt:lpstr>
      <vt:lpstr>LFA_Overall Performance_6</vt:lpstr>
      <vt:lpstr>LFA_DisbursementRecommendation7</vt:lpstr>
      <vt:lpstr>LFA_Bank Details_7C</vt:lpstr>
      <vt:lpstr>LFA_Annex-SR Financials</vt:lpstr>
      <vt:lpstr>Annexure_D_CuuVAR </vt:lpstr>
      <vt:lpstr>Annexure_C_CurVAR</vt:lpstr>
      <vt:lpstr>Memo HIV</vt:lpstr>
      <vt:lpstr>Memo TB</vt:lpstr>
      <vt:lpstr>Memo Malaria</vt:lpstr>
      <vt:lpstr>Definitions-lists-EFR</vt:lpstr>
      <vt:lpstr>Sheet2</vt:lpstr>
      <vt:lpstr>E</vt:lpstr>
      <vt:lpstr>ES</vt:lpstr>
      <vt:lpstr>HIVII</vt:lpstr>
      <vt:lpstr>HIVOI</vt:lpstr>
      <vt:lpstr>HIVSDA</vt:lpstr>
      <vt:lpstr>HIVSource</vt:lpstr>
      <vt:lpstr>List_IE</vt:lpstr>
      <vt:lpstr>ListHIV</vt:lpstr>
      <vt:lpstr>ListMal</vt:lpstr>
      <vt:lpstr>ListTB</vt:lpstr>
      <vt:lpstr>MalariaII</vt:lpstr>
      <vt:lpstr>MalariaOI</vt:lpstr>
      <vt:lpstr>MalariaSDA</vt:lpstr>
      <vt:lpstr>MalariaSource</vt:lpstr>
      <vt:lpstr>Please_Select</vt:lpstr>
      <vt:lpstr>'PR_Programmatic Progress_1B'!PR_SDA</vt:lpstr>
      <vt:lpstr>Annexure_B_Cashflow!Print_Area</vt:lpstr>
      <vt:lpstr>Checklist!Print_Area</vt:lpstr>
      <vt:lpstr>'Cover Sheet'!Print_Area</vt:lpstr>
      <vt:lpstr>'EFR HIV AIDS Financial Data_3B'!Print_Area</vt:lpstr>
      <vt:lpstr>'LFA_Annex-SR Financials'!Print_Area</vt:lpstr>
      <vt:lpstr>'LFA_Bank Details_7C'!Print_Area</vt:lpstr>
      <vt:lpstr>'LFA_Cash Reconciliation_5A'!Print_Area</vt:lpstr>
      <vt:lpstr>'LFA_Disbursement Recommend_5B'!Print_Area</vt:lpstr>
      <vt:lpstr>LFA_DisbursementRecommendation7!Print_Area</vt:lpstr>
      <vt:lpstr>'LFA_EFR Review_3B'!Print_Area</vt:lpstr>
      <vt:lpstr>'LFA_Findings&amp;Recommendations'!Print_Area</vt:lpstr>
      <vt:lpstr>'LFA_Grant Management_2'!Print_Area</vt:lpstr>
      <vt:lpstr>'LFA_Overall Performance_6'!Print_Area</vt:lpstr>
      <vt:lpstr>'LFA_Procurement Info_4'!Print_Area</vt:lpstr>
      <vt:lpstr>'LFA_Programmatic Progress_1A'!Print_Area</vt:lpstr>
      <vt:lpstr>'LFA_Total PR Cash Outflow_3A'!Print_Area</vt:lpstr>
      <vt:lpstr>'Memo HIV'!Print_Area</vt:lpstr>
      <vt:lpstr>'Memo Malaria'!Print_Area</vt:lpstr>
      <vt:lpstr>'Memo TB'!Print_Area</vt:lpstr>
      <vt:lpstr>'PR_Annex_SR-Financials'!Print_Area</vt:lpstr>
      <vt:lpstr>'PR_Bank Details_7C'!Print_Area</vt:lpstr>
      <vt:lpstr>'PR_Cash Reconciliation_5A'!Print_Area</vt:lpstr>
      <vt:lpstr>'PR_Cash Request_7A&amp;B'!Print_Area</vt:lpstr>
      <vt:lpstr>'PR_Disbursement Request_5B'!Print_Area</vt:lpstr>
      <vt:lpstr>'PR_Grant Management_2'!Print_Area</vt:lpstr>
      <vt:lpstr>'PR_Overall Performance_6'!Print_Area</vt:lpstr>
      <vt:lpstr>'PR_Procurement Info_4'!Print_Area</vt:lpstr>
      <vt:lpstr>'PR_Programmatic Progress_1A'!Print_Area</vt:lpstr>
      <vt:lpstr>'PR_Programmatic Progress_1B'!Print_Area</vt:lpstr>
      <vt:lpstr>'PR_Total PR Cash Outflow_3A'!Print_Area</vt:lpstr>
      <vt:lpstr>'LFA_Annex-SR Financials'!Print_Titles</vt:lpstr>
      <vt:lpstr>'LFA_Cash Reconciliation_5A'!Print_Titles</vt:lpstr>
      <vt:lpstr>'LFA_Disbursement Recommend_5B'!Print_Titles</vt:lpstr>
      <vt:lpstr>LFA_DisbursementRecommendation7!Print_Titles</vt:lpstr>
      <vt:lpstr>'LFA_Findings&amp;Recommendations'!Print_Titles</vt:lpstr>
      <vt:lpstr>'LFA_Grant Management_2'!Print_Titles</vt:lpstr>
      <vt:lpstr>'LFA_Overall Performance_6'!Print_Titles</vt:lpstr>
      <vt:lpstr>'LFA_Procurement Info_4'!Print_Titles</vt:lpstr>
      <vt:lpstr>'LFA_Programmatic Progress_1A'!Print_Titles</vt:lpstr>
      <vt:lpstr>'PR_Annex_SR-Financials'!Print_Titles</vt:lpstr>
      <vt:lpstr>'PR_Grant Management_2'!Print_Titles</vt:lpstr>
      <vt:lpstr>'PR_Programmatic Progress_1A'!Print_Titles</vt:lpstr>
      <vt:lpstr>'PR_Total PR Cash Outflow_3A'!Print_Titles</vt:lpstr>
      <vt:lpstr>PS</vt:lpstr>
      <vt:lpstr>SDAList</vt:lpstr>
      <vt:lpstr>Select</vt:lpstr>
      <vt:lpstr>TBII</vt:lpstr>
      <vt:lpstr>TBOI</vt:lpstr>
      <vt:lpstr>TBSDA</vt:lpstr>
      <vt:lpstr>TBSource</vt:lpstr>
      <vt:lpstr>'PR_Programmatic Progress_1B'!TEST</vt:lpstr>
    </vt:vector>
  </TitlesOfParts>
  <Company>The Global Fund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Houtan Afkhami</dc:creator>
  <cp:lastModifiedBy>Jigme Thinley</cp:lastModifiedBy>
  <cp:lastPrinted>2012-01-09T06:11:00Z</cp:lastPrinted>
  <dcterms:created xsi:type="dcterms:W3CDTF">2005-11-03T14:33:15Z</dcterms:created>
  <dcterms:modified xsi:type="dcterms:W3CDTF">2012-08-02T04:18:16Z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0x0101005FBB0C72A9D87144A7B972E58A0B54D1</vt:lpwstr>
  </property>
</Properties>
</file>