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Default Extension="emf" ContentType="image/x-emf"/>
  <Default Extension="jpe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never" codeName="ThisWorkbook" defaultThemeVersion="124226"/>
  <bookViews>
    <workbookView xWindow="9705" yWindow="105" windowWidth="9510" windowHeight="10965" tabRatio="550" firstSheet="3" activeTab="3"/>
  </bookViews>
  <sheets>
    <sheet name="Cover Sheet" sheetId="1" r:id="rId1"/>
    <sheet name="PR_Programmatic Progress_1A" sheetId="2" r:id="rId2"/>
    <sheet name="PR_Programmatic Progress_1B" sheetId="3" r:id="rId3"/>
    <sheet name="PR_Grant Management_2" sheetId="4" r:id="rId4"/>
    <sheet name="PR_Total PR Cash Outflow_3A" sheetId="33" r:id="rId5"/>
    <sheet name="EFR HIV AIDS Financial Data_3B" sheetId="57" state="hidden" r:id="rId6"/>
    <sheet name="PR_Procurement Info_4" sheetId="38" r:id="rId7"/>
    <sheet name="PR_Cash Reconciliation_5A" sheetId="34" r:id="rId8"/>
    <sheet name="PR_Disbursement Request_5B" sheetId="36" r:id="rId9"/>
    <sheet name="PR_Overall Performance_6" sheetId="30" r:id="rId10"/>
    <sheet name="PR_Cash Request_7A&amp;B" sheetId="7" r:id="rId11"/>
    <sheet name="PR_Bank Details_7C" sheetId="45" r:id="rId12"/>
    <sheet name="PR_Annex_SR-Financials" sheetId="42" r:id="rId13"/>
    <sheet name="Checklist" sheetId="44" r:id="rId14"/>
    <sheet name="LFA_Programmatic Progress_1A" sheetId="9" r:id="rId15"/>
    <sheet name="LFA_Programmatic Progress_1B" sheetId="10" r:id="rId16"/>
    <sheet name="ANNEXURE A (RATING)" sheetId="70" r:id="rId17"/>
    <sheet name="LFA_Grant Management_2" sheetId="11" r:id="rId18"/>
    <sheet name="LFA_Total PR Cash Outflow_3A" sheetId="12" r:id="rId19"/>
    <sheet name="LFA_EFR Review_3B" sheetId="50" r:id="rId20"/>
    <sheet name="LFA_Procurement Info_4" sheetId="39" r:id="rId21"/>
    <sheet name="LFA_Findings&amp;Recommendations" sheetId="41" r:id="rId22"/>
    <sheet name="LFA_Cash Reconciliation_5A" sheetId="25" r:id="rId23"/>
    <sheet name="Annexure_B_Cashflow" sheetId="68" r:id="rId24"/>
    <sheet name="LFA_Disbursement Recommend_5B" sheetId="37" r:id="rId25"/>
    <sheet name="Sheet1" sheetId="22" state="hidden" r:id="rId26"/>
    <sheet name="LFA_Overall Performance_6" sheetId="13" r:id="rId27"/>
    <sheet name="LFA_DisbursementRecommendation7" sheetId="16" r:id="rId28"/>
    <sheet name="LFA_Bank Details_7C" sheetId="51" r:id="rId29"/>
    <sheet name="LFA_Annex-SR Financials" sheetId="43" r:id="rId30"/>
    <sheet name="Annexure_D_CuuVAR " sheetId="66" r:id="rId31"/>
    <sheet name="Annexure_C_CurVAR" sheetId="67" r:id="rId32"/>
    <sheet name="Memo HIV" sheetId="19" state="hidden" r:id="rId33"/>
    <sheet name="Memo TB" sheetId="20" state="hidden" r:id="rId34"/>
    <sheet name="Memo Malaria" sheetId="21" state="hidden" r:id="rId35"/>
    <sheet name="Definitions-lists-EFR" sheetId="62" state="hidden" r:id="rId36"/>
    <sheet name="Sheet2" sheetId="63" state="hidden" r:id="rId37"/>
  </sheets>
  <externalReferences>
    <externalReference r:id="rId38"/>
    <externalReference r:id="rId39"/>
    <externalReference r:id="rId40"/>
    <externalReference r:id="rId41"/>
    <externalReference r:id="rId42"/>
    <externalReference r:id="rId43"/>
    <externalReference r:id="rId44"/>
    <externalReference r:id="rId45"/>
  </externalReferences>
  <definedNames>
    <definedName name="_xlnm._FilterDatabase" localSheetId="31" hidden="1">Annexure_C_CurVAR!$C$3:$G$28</definedName>
    <definedName name="_xlnm._FilterDatabase" localSheetId="30" hidden="1">'Annexure_D_CuuVAR '!$A$2:$C$103</definedName>
    <definedName name="E">'Memo HIV'!$F$3</definedName>
    <definedName name="ES">'Memo HIV'!$F$4</definedName>
    <definedName name="HIVII">'Memo HIV'!$B$2:$B$8</definedName>
    <definedName name="HIVOI">'Memo HIV'!$D$2:$D$15</definedName>
    <definedName name="HIVSDA" localSheetId="31">'[1]Memo HIV'!$A$2:$A$26</definedName>
    <definedName name="HIVSDA" localSheetId="30">'[1]Memo HIV'!$A$2:$A$26</definedName>
    <definedName name="HIVSDA">'Memo HIV'!$A$2:$A$26</definedName>
    <definedName name="HIVSource">'Memo HIV'!$E$2:$E$22</definedName>
    <definedName name="LFA_SDA" localSheetId="31">'[1]LFA_Programmatic Progress_1B'!#REF!</definedName>
    <definedName name="LFA_SDA" localSheetId="30">'[1]LFA_Programmatic Progress_1B'!#REF!</definedName>
    <definedName name="LFA_SDA" localSheetId="19">#REF!</definedName>
    <definedName name="LFA_SDA" localSheetId="11">'[2]LFA_Programmatic Progress_1B'!#REF!</definedName>
    <definedName name="LFA_SDA" localSheetId="4">#REF!</definedName>
    <definedName name="LFA_SDA">'LFA_Programmatic Progress_1B'!#REF!</definedName>
    <definedName name="LFASig" localSheetId="31">#REF!</definedName>
    <definedName name="LFASig" localSheetId="30">#REF!</definedName>
    <definedName name="LFASig" localSheetId="19">#REF!</definedName>
    <definedName name="LFASig" localSheetId="11">'[2]LFA_Signature (image)'!$B$2</definedName>
    <definedName name="LFASig" localSheetId="4">#REF!</definedName>
    <definedName name="LFASig">#REF!</definedName>
    <definedName name="list" localSheetId="31">#REF!</definedName>
    <definedName name="list" localSheetId="30">#REF!</definedName>
    <definedName name="list">#REF!</definedName>
    <definedName name="List_IE" localSheetId="31">'[1]Definitions-lists-EFR'!$A$58:$A$65</definedName>
    <definedName name="List_IE" localSheetId="30">'[1]Definitions-lists-EFR'!$A$58:$A$65</definedName>
    <definedName name="List_IE">'Definitions-lists-EFR'!$A$58:$A$65</definedName>
    <definedName name="list1" localSheetId="31">#REF!</definedName>
    <definedName name="list1" localSheetId="30">#REF!</definedName>
    <definedName name="list1">#REF!</definedName>
    <definedName name="list2" localSheetId="31">#REF!</definedName>
    <definedName name="list2" localSheetId="30">#REF!</definedName>
    <definedName name="list2">#REF!</definedName>
    <definedName name="listH" localSheetId="31">#REF!</definedName>
    <definedName name="listH" localSheetId="30">#REF!</definedName>
    <definedName name="listH">#REF!</definedName>
    <definedName name="ListHIV" localSheetId="31">'[1]Definitions-lists-EFR'!$A$1:$A$7</definedName>
    <definedName name="ListHIV" localSheetId="30">'[1]Definitions-lists-EFR'!$A$1:$A$7</definedName>
    <definedName name="ListHIV">'Definitions-lists-EFR'!$A$1:$A$7</definedName>
    <definedName name="listie" localSheetId="31">#REF!</definedName>
    <definedName name="listie" localSheetId="30">#REF!</definedName>
    <definedName name="listie">#REF!</definedName>
    <definedName name="listmac" localSheetId="31">#REF!</definedName>
    <definedName name="listmac" localSheetId="30">#REF!</definedName>
    <definedName name="listmac">#REF!</definedName>
    <definedName name="ListMal">'Definitions-lists-EFR'!$A$21:$A$25</definedName>
    <definedName name="listnew" localSheetId="31">#REF!</definedName>
    <definedName name="listnew" localSheetId="30">#REF!</definedName>
    <definedName name="listnew">#REF!</definedName>
    <definedName name="listS" localSheetId="31">#REF!</definedName>
    <definedName name="listS" localSheetId="30">#REF!</definedName>
    <definedName name="listS">#REF!</definedName>
    <definedName name="listsda" localSheetId="31">#REF!</definedName>
    <definedName name="listsda" localSheetId="30">#REF!</definedName>
    <definedName name="listsda">#REF!</definedName>
    <definedName name="listsdah" localSheetId="31">#REF!</definedName>
    <definedName name="listsdah" localSheetId="30">#REF!</definedName>
    <definedName name="listsdah">#REF!</definedName>
    <definedName name="listsdahiv" localSheetId="31">#REF!</definedName>
    <definedName name="listsdahiv" localSheetId="30">#REF!</definedName>
    <definedName name="listsdahiv">#REF!</definedName>
    <definedName name="listsdahiv1" localSheetId="31">#REF!</definedName>
    <definedName name="listsdahiv1" localSheetId="30">#REF!</definedName>
    <definedName name="listsdahiv1">#REF!</definedName>
    <definedName name="listsdam">[3]Definitions!$C$28:$C$50</definedName>
    <definedName name="listsdat" localSheetId="31">#REF!</definedName>
    <definedName name="listsdat" localSheetId="30">#REF!</definedName>
    <definedName name="listsdat">#REF!</definedName>
    <definedName name="listsdat1">[4]Definitions!$C$39:$C$54</definedName>
    <definedName name="listserv" localSheetId="31">#REF!</definedName>
    <definedName name="listserv" localSheetId="30">#REF!</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31">'[1]LFA_Programmatic Progress_1A'!#REF!</definedName>
    <definedName name="PR_SDA" localSheetId="30">'[1]LFA_Programmatic Progress_1A'!#REF!</definedName>
    <definedName name="PR_SDA" localSheetId="19">#REF!</definedName>
    <definedName name="PR_SDA" localSheetId="11">'[2]LFA_Programmatic Progress_1A'!#REF!</definedName>
    <definedName name="PR_SDA" localSheetId="2">'PR_Programmatic Progress_1B'!$C$12:$C$38</definedName>
    <definedName name="PR_SDA" localSheetId="4">#REF!</definedName>
    <definedName name="PR_SDA">'LFA_Programmatic Progress_1A'!#REF!</definedName>
    <definedName name="_xlnm.Print_Area" localSheetId="23">Annexure_B_Cashflow!$A$1:$G$16</definedName>
    <definedName name="_xlnm.Print_Area" localSheetId="13">Checklist!$A$1:$E$33</definedName>
    <definedName name="_xlnm.Print_Area" localSheetId="0">'Cover Sheet'!$A$1:$D$19</definedName>
    <definedName name="_xlnm.Print_Area" localSheetId="5">'EFR HIV AIDS Financial Data_3B'!$A$1:$M$75</definedName>
    <definedName name="_xlnm.Print_Area" localSheetId="29">'LFA_Annex-SR Financials'!$A$1:$R$27</definedName>
    <definedName name="_xlnm.Print_Area" localSheetId="28">'LFA_Bank Details_7C'!$A$1:$F$81</definedName>
    <definedName name="_xlnm.Print_Area" localSheetId="22">'LFA_Cash Reconciliation_5A'!$A$1:$K$25</definedName>
    <definedName name="_xlnm.Print_Area" localSheetId="24">'LFA_Disbursement Recommend_5B'!$A$1:$S$56</definedName>
    <definedName name="_xlnm.Print_Area" localSheetId="27">LFA_DisbursementRecommendation7!$A$1:$P$65</definedName>
    <definedName name="_xlnm.Print_Area" localSheetId="19">'LFA_EFR Review_3B'!$A$1:$K$52</definedName>
    <definedName name="_xlnm.Print_Area" localSheetId="21">'LFA_Findings&amp;Recommendations'!$A$1:$K$30</definedName>
    <definedName name="_xlnm.Print_Area" localSheetId="17">'LFA_Grant Management_2'!$A$1:$L$50</definedName>
    <definedName name="_xlnm.Print_Area" localSheetId="26">'LFA_Overall Performance_6'!$A$1:$K$26</definedName>
    <definedName name="_xlnm.Print_Area" localSheetId="20">'LFA_Procurement Info_4'!$A$1:$K$33</definedName>
    <definedName name="_xlnm.Print_Area" localSheetId="14">'LFA_Programmatic Progress_1A'!$A$1:$S$37</definedName>
    <definedName name="_xlnm.Print_Area" localSheetId="18">'LFA_Total PR Cash Outflow_3A'!$A$1:$K$26</definedName>
    <definedName name="_xlnm.Print_Area" localSheetId="32">'Memo HIV'!$A$1:$J$32</definedName>
    <definedName name="_xlnm.Print_Area" localSheetId="34">'Memo Malaria'!$A$1:$F$25</definedName>
    <definedName name="_xlnm.Print_Area" localSheetId="33">'Memo TB'!$A$1:$F$17</definedName>
    <definedName name="_xlnm.Print_Area" localSheetId="12">'PR_Annex_SR-Financials'!$A$1:$Q$40</definedName>
    <definedName name="_xlnm.Print_Area" localSheetId="11">'PR_Bank Details_7C'!$A$1:$G$82</definedName>
    <definedName name="_xlnm.Print_Area" localSheetId="7">'PR_Cash Reconciliation_5A'!$A$1:$M$33</definedName>
    <definedName name="_xlnm.Print_Area" localSheetId="10">'PR_Cash Request_7A&amp;B'!$A$1:$M$40</definedName>
    <definedName name="_xlnm.Print_Area" localSheetId="8">'PR_Disbursement Request_5B'!$A$1:$T$46</definedName>
    <definedName name="_xlnm.Print_Area" localSheetId="3">'PR_Grant Management_2'!$A$1:$L$58</definedName>
    <definedName name="_xlnm.Print_Area" localSheetId="9">'PR_Overall Performance_6'!$A$1:$P$31</definedName>
    <definedName name="_xlnm.Print_Area" localSheetId="6">'PR_Procurement Info_4'!$A$1:$L$16</definedName>
    <definedName name="_xlnm.Print_Area" localSheetId="1">'PR_Programmatic Progress_1A'!$A$1:$P$36</definedName>
    <definedName name="_xlnm.Print_Area" localSheetId="2">'PR_Programmatic Progress_1B'!$A$1:$P$43</definedName>
    <definedName name="_xlnm.Print_Area" localSheetId="4">'PR_Total PR Cash Outflow_3A'!$A$1:$K$19</definedName>
    <definedName name="_xlnm.Print_Titles" localSheetId="29">'LFA_Annex-SR Financials'!$14:$14</definedName>
    <definedName name="_xlnm.Print_Titles" localSheetId="22">'LFA_Cash Reconciliation_5A'!$8:$13</definedName>
    <definedName name="_xlnm.Print_Titles" localSheetId="24">'LFA_Disbursement Recommend_5B'!$9:$9</definedName>
    <definedName name="_xlnm.Print_Titles" localSheetId="27">LFA_DisbursementRecommendation7!$16:$16</definedName>
    <definedName name="_xlnm.Print_Titles" localSheetId="21">'LFA_Findings&amp;Recommendations'!$9:$13</definedName>
    <definedName name="_xlnm.Print_Titles" localSheetId="17">'LFA_Grant Management_2'!$8:$8</definedName>
    <definedName name="_xlnm.Print_Titles" localSheetId="26">'LFA_Overall Performance_6'!$8:$8</definedName>
    <definedName name="_xlnm.Print_Titles" localSheetId="20">'LFA_Procurement Info_4'!$8:$8</definedName>
    <definedName name="_xlnm.Print_Titles" localSheetId="14">'LFA_Programmatic Progress_1A'!$22:$26</definedName>
    <definedName name="_xlnm.Print_Titles" localSheetId="12">'PR_Annex_SR-Financials'!$14:$14</definedName>
    <definedName name="_xlnm.Print_Titles" localSheetId="3">'PR_Grant Management_2'!$8:$8</definedName>
    <definedName name="_xlnm.Print_Titles" localSheetId="1">'PR_Programmatic Progress_1A'!$22:$26</definedName>
    <definedName name="_xlnm.Print_Titles" localSheetId="4">'PR_Total PR Cash Outflow_3A'!$9:$10</definedName>
    <definedName name="PS">'Memo HIV'!$F$5</definedName>
    <definedName name="SD" localSheetId="23">#REF!</definedName>
    <definedName name="SD" localSheetId="31">#REF!</definedName>
    <definedName name="SD" localSheetId="30">#REF!</definedName>
    <definedName name="SD">#REF!</definedName>
    <definedName name="SDA" localSheetId="23">#REF!</definedName>
    <definedName name="SDA" localSheetId="31">#REF!</definedName>
    <definedName name="SDA" localSheetId="30">#REF!</definedName>
    <definedName name="SDA">#REF!</definedName>
    <definedName name="SDAList">'Memo Malaria'!$A$3:$A$21</definedName>
    <definedName name="Select">'Memo HIV'!$J$2:$J$3</definedName>
    <definedName name="Sources" localSheetId="31">#REF!</definedName>
    <definedName name="Sources" localSheetId="30">#REF!</definedName>
    <definedName name="Sources" localSheetId="11">#REF!</definedName>
    <definedName name="Sources">#REF!</definedName>
    <definedName name="TBII">'Memo TB'!$B$2:$B$5</definedName>
    <definedName name="TBOI">'Memo TB'!$D$2:$D$5</definedName>
    <definedName name="TBSDA">'Memo TB'!$A$2:$A$17</definedName>
    <definedName name="TBSource">'Memo TB'!$E$2:$E$27</definedName>
    <definedName name="TEST" localSheetId="31">'[1]LFA_Programmatic Progress_1A'!#REF!</definedName>
    <definedName name="TEST" localSheetId="30">'[1]LFA_Programmatic Progress_1A'!#REF!</definedName>
    <definedName name="TEST" localSheetId="19">#REF!</definedName>
    <definedName name="TEST" localSheetId="11">'[2]LFA_Programmatic Progress_1A'!#REF!</definedName>
    <definedName name="TEST" localSheetId="2">'PR_Programmatic Progress_1B'!$C$12:$C$38</definedName>
    <definedName name="TEST" localSheetId="4">#REF!</definedName>
    <definedName name="TEST">'LFA_Programmatic Progress_1A'!#REF!</definedName>
    <definedName name="Timeframe" localSheetId="31">#REF!</definedName>
    <definedName name="Timeframe" localSheetId="30">#REF!</definedName>
    <definedName name="Timeframe" localSheetId="11">#REF!</definedName>
    <definedName name="Timeframe">#REF!</definedName>
    <definedName name="Z_E26F941C_F347_432D_B4B3_73B25F002075_.wvu.Cols" localSheetId="27" hidden="1">LFA_DisbursementRecommendation7!#REF!</definedName>
    <definedName name="Z_E26F941C_F347_432D_B4B3_73B25F002075_.wvu.Cols" localSheetId="17" hidden="1">'LFA_Grant Management_2'!$G:$H,'LFA_Grant Management_2'!#REF!</definedName>
    <definedName name="Z_E26F941C_F347_432D_B4B3_73B25F002075_.wvu.Cols" localSheetId="14" hidden="1">'LFA_Programmatic Progress_1A'!#REF!</definedName>
    <definedName name="Z_E26F941C_F347_432D_B4B3_73B25F002075_.wvu.Cols" localSheetId="15" hidden="1">'LFA_Programmatic Progress_1B'!#REF!</definedName>
    <definedName name="Z_E26F941C_F347_432D_B4B3_73B25F002075_.wvu.Cols" localSheetId="18" hidden="1">'LFA_Total PR Cash Outflow_3A'!#REF!</definedName>
    <definedName name="Z_E26F941C_F347_432D_B4B3_73B25F002075_.wvu.Cols" localSheetId="32" hidden="1">'Memo HIV'!$C:$C,'Memo HIV'!$F:$F</definedName>
    <definedName name="Z_E26F941C_F347_432D_B4B3_73B25F002075_.wvu.Cols" localSheetId="34" hidden="1">'Memo Malaria'!$C:$C</definedName>
    <definedName name="Z_E26F941C_F347_432D_B4B3_73B25F002075_.wvu.Cols" localSheetId="33" hidden="1">'Memo TB'!$C:$C</definedName>
    <definedName name="Z_E26F941C_F347_432D_B4B3_73B25F002075_.wvu.PrintArea" localSheetId="0" hidden="1">'Cover Sheet'!$A$1:$A$17</definedName>
    <definedName name="Z_E26F941C_F347_432D_B4B3_73B25F002075_.wvu.PrintArea" localSheetId="27" hidden="1">LFA_DisbursementRecommendation7!$A$1:$J$61</definedName>
    <definedName name="Z_E26F941C_F347_432D_B4B3_73B25F002075_.wvu.PrintArea" localSheetId="17" hidden="1">'LFA_Grant Management_2'!$A$1:$L$41</definedName>
    <definedName name="Z_E26F941C_F347_432D_B4B3_73B25F002075_.wvu.PrintArea" localSheetId="26" hidden="1">'LFA_Overall Performance_6'!$A$1:$K$22</definedName>
    <definedName name="Z_E26F941C_F347_432D_B4B3_73B25F002075_.wvu.PrintArea" localSheetId="14" hidden="1">'LFA_Programmatic Progress_1A'!$A$1:$R$36</definedName>
    <definedName name="Z_E26F941C_F347_432D_B4B3_73B25F002075_.wvu.PrintArea" localSheetId="15" hidden="1">'LFA_Programmatic Progress_1B'!$A$1:$O$23</definedName>
    <definedName name="Z_E26F941C_F347_432D_B4B3_73B25F002075_.wvu.PrintArea" localSheetId="18" hidden="1">'LFA_Total PR Cash Outflow_3A'!$A$1:$L$23</definedName>
    <definedName name="Z_E26F941C_F347_432D_B4B3_73B25F002075_.wvu.PrintArea" localSheetId="32" hidden="1">'Memo HIV'!$A$1:$J$32</definedName>
    <definedName name="Z_E26F941C_F347_432D_B4B3_73B25F002075_.wvu.PrintArea" localSheetId="34" hidden="1">'Memo Malaria'!$A$1:$F$25</definedName>
    <definedName name="Z_E26F941C_F347_432D_B4B3_73B25F002075_.wvu.PrintArea" localSheetId="33" hidden="1">'Memo TB'!$A$1:$F$17</definedName>
    <definedName name="Z_E26F941C_F347_432D_B4B3_73B25F002075_.wvu.PrintArea" localSheetId="10" hidden="1">'PR_Cash Request_7A&amp;B'!$A$1:$M$36</definedName>
    <definedName name="Z_E26F941C_F347_432D_B4B3_73B25F002075_.wvu.PrintArea" localSheetId="1" hidden="1">'PR_Programmatic Progress_1A'!$A$1:$P$36</definedName>
    <definedName name="Z_E26F941C_F347_432D_B4B3_73B25F002075_.wvu.PrintArea" localSheetId="2" hidden="1">'PR_Programmatic Progress_1B'!$A$1:$Q$37</definedName>
    <definedName name="Z_E26F941C_F347_432D_B4B3_73B25F002075_.wvu.PrintArea" localSheetId="4" hidden="1">'PR_Total PR Cash Outflow_3A'!$A$1:$J$20</definedName>
    <definedName name="Z_E26F941C_F347_432D_B4B3_73B25F002075_.wvu.Rows" localSheetId="34" hidden="1">'Memo Malaria'!$2:$2</definedName>
    <definedName name="Z_E26F941C_F347_432D_B4B3_73B25F002075_.wvu.Rows" localSheetId="33" hidden="1">'Memo TB'!$2:$2</definedName>
    <definedName name="Z_E26F941C_F347_432D_B4B3_73B25F002075_.wvu.Rows" localSheetId="1" hidden="1">'PR_Programmatic Progress_1A'!$2:$3</definedName>
  </definedNames>
  <calcPr calcId="124519"/>
  <customWorkbookViews>
    <customWorkbookView name="jinfanti - Personal View" guid="{E26F941C-F347-432D-B4B3-73B25F002075}" autoUpdate="1" mergeInterval="5" personalView="1" maximized="1" xWindow="1" yWindow="1" windowWidth="1280" windowHeight="803" tabRatio="792" activeSheetId="2" showComments="commIndAndComment"/>
  </customWorkbookViews>
</workbook>
</file>

<file path=xl/calcChain.xml><?xml version="1.0" encoding="utf-8"?>
<calcChain xmlns="http://schemas.openxmlformats.org/spreadsheetml/2006/main">
  <c r="M16" i="3"/>
  <c r="H19" i="33"/>
  <c r="H18"/>
  <c r="I14"/>
  <c r="I13"/>
  <c r="H14"/>
  <c r="H13"/>
  <c r="D55" i="70" l="1"/>
  <c r="D52"/>
  <c r="D51"/>
  <c r="K40"/>
  <c r="K39"/>
  <c r="K38"/>
  <c r="K37"/>
  <c r="K36"/>
  <c r="K35"/>
  <c r="K34"/>
  <c r="K33"/>
  <c r="K32"/>
  <c r="K31"/>
  <c r="K30"/>
  <c r="K29"/>
  <c r="K28"/>
  <c r="K27"/>
  <c r="K26"/>
  <c r="K25"/>
  <c r="K24"/>
  <c r="K23"/>
  <c r="K22"/>
  <c r="K21"/>
  <c r="K20"/>
  <c r="K19"/>
  <c r="K18"/>
  <c r="K17"/>
  <c r="K16"/>
  <c r="K15"/>
  <c r="D54" s="1"/>
  <c r="K14"/>
  <c r="K13"/>
  <c r="K12"/>
  <c r="K11"/>
  <c r="K10"/>
  <c r="K9"/>
  <c r="K8"/>
  <c r="K6"/>
  <c r="D59" s="1"/>
  <c r="D60" s="1"/>
  <c r="K5"/>
  <c r="C41" i="67"/>
  <c r="C40"/>
  <c r="E40" s="1"/>
  <c r="E43" s="1"/>
  <c r="C34"/>
  <c r="C33"/>
  <c r="C37"/>
  <c r="D48"/>
  <c r="C48"/>
  <c r="C47"/>
  <c r="D46"/>
  <c r="D47"/>
  <c r="C46"/>
  <c r="C44"/>
  <c r="C42"/>
  <c r="C45" s="1"/>
  <c r="E39"/>
  <c r="E46" s="1"/>
  <c r="E47" s="1"/>
  <c r="D41"/>
  <c r="D44" s="1"/>
  <c r="D34"/>
  <c r="E34" s="1"/>
  <c r="E37" s="1"/>
  <c r="D33"/>
  <c r="D36" s="1"/>
  <c r="C36"/>
  <c r="E32"/>
  <c r="D35" s="1"/>
  <c r="E42"/>
  <c r="E45" s="1"/>
  <c r="E41"/>
  <c r="E44" s="1"/>
  <c r="E33"/>
  <c r="E36" s="1"/>
  <c r="D114" i="66"/>
  <c r="C114"/>
  <c r="E112"/>
  <c r="E108"/>
  <c r="E109"/>
  <c r="E117" s="1"/>
  <c r="E120" s="1"/>
  <c r="C110"/>
  <c r="E110" s="1"/>
  <c r="D110"/>
  <c r="E6" i="68"/>
  <c r="E7" s="1"/>
  <c r="X18" i="57"/>
  <c r="I15" i="12"/>
  <c r="I13" s="1"/>
  <c r="I14"/>
  <c r="D15" i="68"/>
  <c r="D16" s="1"/>
  <c r="D9"/>
  <c r="D10"/>
  <c r="E10" s="1"/>
  <c r="D7"/>
  <c r="E5"/>
  <c r="F4" i="67"/>
  <c r="F5"/>
  <c r="F6"/>
  <c r="F28" s="1"/>
  <c r="G28" s="1"/>
  <c r="F7"/>
  <c r="G7"/>
  <c r="F8"/>
  <c r="G8"/>
  <c r="F9"/>
  <c r="G9"/>
  <c r="E10"/>
  <c r="D40"/>
  <c r="D43" s="1"/>
  <c r="F11"/>
  <c r="F12"/>
  <c r="F13"/>
  <c r="F14"/>
  <c r="F15"/>
  <c r="G15"/>
  <c r="F16"/>
  <c r="F17"/>
  <c r="G17" s="1"/>
  <c r="F18"/>
  <c r="G18" s="1"/>
  <c r="F19"/>
  <c r="G19" s="1"/>
  <c r="F20"/>
  <c r="G20" s="1"/>
  <c r="F21"/>
  <c r="F22"/>
  <c r="G22"/>
  <c r="F23"/>
  <c r="F24"/>
  <c r="G24" s="1"/>
  <c r="F25"/>
  <c r="G25" s="1"/>
  <c r="F26"/>
  <c r="F27"/>
  <c r="G27"/>
  <c r="D28"/>
  <c r="F5" i="66"/>
  <c r="F104" s="1"/>
  <c r="I5"/>
  <c r="L5"/>
  <c r="O5"/>
  <c r="R5"/>
  <c r="U5"/>
  <c r="X5"/>
  <c r="Y5"/>
  <c r="Z5"/>
  <c r="AA5" s="1"/>
  <c r="U6"/>
  <c r="X6"/>
  <c r="Y6"/>
  <c r="Z6"/>
  <c r="AA6" s="1"/>
  <c r="AB6" s="1"/>
  <c r="U7"/>
  <c r="X7"/>
  <c r="Y7"/>
  <c r="Z7"/>
  <c r="AA7" s="1"/>
  <c r="AB7" s="1"/>
  <c r="U8"/>
  <c r="X8"/>
  <c r="Y8"/>
  <c r="Z8"/>
  <c r="AA8" s="1"/>
  <c r="AB8" s="1"/>
  <c r="U9"/>
  <c r="X9"/>
  <c r="Y9"/>
  <c r="Z9"/>
  <c r="AA9" s="1"/>
  <c r="AB9" s="1"/>
  <c r="U10"/>
  <c r="X10"/>
  <c r="Y10"/>
  <c r="Z10"/>
  <c r="AA10" s="1"/>
  <c r="AB10" s="1"/>
  <c r="F11"/>
  <c r="I11"/>
  <c r="L11"/>
  <c r="O11"/>
  <c r="R11"/>
  <c r="U11"/>
  <c r="X11"/>
  <c r="Y11"/>
  <c r="AA11" s="1"/>
  <c r="AB11" s="1"/>
  <c r="Z11"/>
  <c r="U12"/>
  <c r="X12"/>
  <c r="Y12"/>
  <c r="Z12"/>
  <c r="U13"/>
  <c r="X13"/>
  <c r="Y13"/>
  <c r="AA13" s="1"/>
  <c r="Z13"/>
  <c r="U14"/>
  <c r="X14"/>
  <c r="Y14"/>
  <c r="AA14" s="1"/>
  <c r="AB14" s="1"/>
  <c r="Z14"/>
  <c r="F15"/>
  <c r="I15"/>
  <c r="L15"/>
  <c r="L104" s="1"/>
  <c r="O15"/>
  <c r="R15"/>
  <c r="U15"/>
  <c r="X15"/>
  <c r="Y15"/>
  <c r="Z15"/>
  <c r="F16"/>
  <c r="I16"/>
  <c r="L16"/>
  <c r="O16"/>
  <c r="R16"/>
  <c r="U16"/>
  <c r="X16"/>
  <c r="Y16"/>
  <c r="Z16"/>
  <c r="F17"/>
  <c r="I17"/>
  <c r="L17"/>
  <c r="O17"/>
  <c r="R17"/>
  <c r="U17"/>
  <c r="X17"/>
  <c r="Y17"/>
  <c r="Z17"/>
  <c r="AA17" s="1"/>
  <c r="AB17" s="1"/>
  <c r="F18"/>
  <c r="I18"/>
  <c r="L18"/>
  <c r="O18"/>
  <c r="R18"/>
  <c r="U18"/>
  <c r="X18"/>
  <c r="Y18"/>
  <c r="Z18"/>
  <c r="F19"/>
  <c r="I19"/>
  <c r="L19"/>
  <c r="O19"/>
  <c r="R19"/>
  <c r="U19"/>
  <c r="X19"/>
  <c r="Y19"/>
  <c r="Z19"/>
  <c r="F20"/>
  <c r="I20"/>
  <c r="L20"/>
  <c r="O20"/>
  <c r="R20"/>
  <c r="U20"/>
  <c r="X20"/>
  <c r="Y20"/>
  <c r="Z20"/>
  <c r="F21"/>
  <c r="I21"/>
  <c r="L21"/>
  <c r="O21"/>
  <c r="R21"/>
  <c r="U21"/>
  <c r="X21"/>
  <c r="Y21"/>
  <c r="Z21"/>
  <c r="AA21" s="1"/>
  <c r="AB21" s="1"/>
  <c r="F22"/>
  <c r="I22"/>
  <c r="L22"/>
  <c r="O22"/>
  <c r="R22"/>
  <c r="U22"/>
  <c r="X22"/>
  <c r="Y22"/>
  <c r="AA22" s="1"/>
  <c r="AB22" s="1"/>
  <c r="Z22"/>
  <c r="U23"/>
  <c r="X23"/>
  <c r="Y23"/>
  <c r="AA23" s="1"/>
  <c r="Z23"/>
  <c r="F24"/>
  <c r="I24"/>
  <c r="L24"/>
  <c r="O24"/>
  <c r="U24"/>
  <c r="X24"/>
  <c r="Y24"/>
  <c r="AA24" s="1"/>
  <c r="AB24" s="1"/>
  <c r="Z24"/>
  <c r="F25"/>
  <c r="I25"/>
  <c r="L25"/>
  <c r="O25"/>
  <c r="U25"/>
  <c r="X25"/>
  <c r="Y25"/>
  <c r="AA25" s="1"/>
  <c r="AB25" s="1"/>
  <c r="Z25"/>
  <c r="U26"/>
  <c r="X26"/>
  <c r="Y26"/>
  <c r="AA26" s="1"/>
  <c r="AB26" s="1"/>
  <c r="Z26"/>
  <c r="F27"/>
  <c r="I27"/>
  <c r="L27"/>
  <c r="O27"/>
  <c r="U27"/>
  <c r="X27"/>
  <c r="Y27"/>
  <c r="AA27" s="1"/>
  <c r="AB27" s="1"/>
  <c r="Z27"/>
  <c r="F28"/>
  <c r="I28"/>
  <c r="L28"/>
  <c r="O28"/>
  <c r="U28"/>
  <c r="X28"/>
  <c r="Y28"/>
  <c r="AA28" s="1"/>
  <c r="AB28" s="1"/>
  <c r="Z28"/>
  <c r="F29"/>
  <c r="I29"/>
  <c r="L29"/>
  <c r="O29"/>
  <c r="U29"/>
  <c r="X29"/>
  <c r="Y29"/>
  <c r="AA29" s="1"/>
  <c r="AB29" s="1"/>
  <c r="Z29"/>
  <c r="F30"/>
  <c r="I30"/>
  <c r="L30"/>
  <c r="O30"/>
  <c r="U30"/>
  <c r="X30"/>
  <c r="Y30"/>
  <c r="AA30" s="1"/>
  <c r="AB30" s="1"/>
  <c r="Z30"/>
  <c r="F31"/>
  <c r="I31"/>
  <c r="L31"/>
  <c r="O31"/>
  <c r="U31"/>
  <c r="X31"/>
  <c r="Y31"/>
  <c r="Z31"/>
  <c r="F32"/>
  <c r="I32"/>
  <c r="L32"/>
  <c r="O32"/>
  <c r="U32"/>
  <c r="X32"/>
  <c r="Y32"/>
  <c r="AA32" s="1"/>
  <c r="Z32"/>
  <c r="F33"/>
  <c r="U33"/>
  <c r="X33"/>
  <c r="Y33"/>
  <c r="Z33"/>
  <c r="F34"/>
  <c r="I34"/>
  <c r="L34"/>
  <c r="O34"/>
  <c r="R34"/>
  <c r="U34"/>
  <c r="X34"/>
  <c r="Y34"/>
  <c r="Z34"/>
  <c r="F35"/>
  <c r="I35"/>
  <c r="L35"/>
  <c r="O35"/>
  <c r="R35"/>
  <c r="T35"/>
  <c r="U35"/>
  <c r="X35"/>
  <c r="Y35"/>
  <c r="AA35" s="1"/>
  <c r="AB35" s="1"/>
  <c r="F36"/>
  <c r="I36"/>
  <c r="L36"/>
  <c r="O36"/>
  <c r="R36"/>
  <c r="U36"/>
  <c r="X36"/>
  <c r="Y36"/>
  <c r="AA36" s="1"/>
  <c r="AB36" s="1"/>
  <c r="Z36"/>
  <c r="F37"/>
  <c r="I37"/>
  <c r="L37"/>
  <c r="O37"/>
  <c r="R37"/>
  <c r="U37"/>
  <c r="X37"/>
  <c r="Y37"/>
  <c r="Z37"/>
  <c r="X38"/>
  <c r="Y38"/>
  <c r="Z38"/>
  <c r="U39"/>
  <c r="X39"/>
  <c r="Y39"/>
  <c r="AA39" s="1"/>
  <c r="Z39"/>
  <c r="F40"/>
  <c r="I40"/>
  <c r="L40"/>
  <c r="O40"/>
  <c r="U40"/>
  <c r="X40"/>
  <c r="Y40"/>
  <c r="AA40" s="1"/>
  <c r="AB40" s="1"/>
  <c r="Z40"/>
  <c r="F41"/>
  <c r="I41"/>
  <c r="L41"/>
  <c r="O41"/>
  <c r="R41"/>
  <c r="T41"/>
  <c r="U41"/>
  <c r="X41"/>
  <c r="Y41"/>
  <c r="F42"/>
  <c r="I42"/>
  <c r="L42"/>
  <c r="O42"/>
  <c r="R42"/>
  <c r="U42"/>
  <c r="X42"/>
  <c r="Y42"/>
  <c r="Z42"/>
  <c r="F43"/>
  <c r="I43"/>
  <c r="L43"/>
  <c r="O43"/>
  <c r="R43"/>
  <c r="U43"/>
  <c r="X43"/>
  <c r="Y43"/>
  <c r="Z43"/>
  <c r="AA43" s="1"/>
  <c r="F44"/>
  <c r="I44"/>
  <c r="L44"/>
  <c r="O44"/>
  <c r="R44"/>
  <c r="U44"/>
  <c r="X44"/>
  <c r="Y44"/>
  <c r="Z44"/>
  <c r="U45"/>
  <c r="X45"/>
  <c r="Y45"/>
  <c r="AA45" s="1"/>
  <c r="Z45"/>
  <c r="F46"/>
  <c r="I46"/>
  <c r="L46"/>
  <c r="O46"/>
  <c r="R46"/>
  <c r="U46"/>
  <c r="X46"/>
  <c r="Y46"/>
  <c r="AA46" s="1"/>
  <c r="AB46" s="1"/>
  <c r="Z46"/>
  <c r="F47"/>
  <c r="I47"/>
  <c r="L47"/>
  <c r="O47"/>
  <c r="R47"/>
  <c r="U47"/>
  <c r="X47"/>
  <c r="Y47"/>
  <c r="Z47"/>
  <c r="F48"/>
  <c r="I48"/>
  <c r="L48"/>
  <c r="O48"/>
  <c r="R48"/>
  <c r="U48"/>
  <c r="X48"/>
  <c r="Y48"/>
  <c r="Z48"/>
  <c r="AA48" s="1"/>
  <c r="AB48" s="1"/>
  <c r="F49"/>
  <c r="I49"/>
  <c r="L49"/>
  <c r="O49"/>
  <c r="R49"/>
  <c r="U49"/>
  <c r="X49"/>
  <c r="Y49"/>
  <c r="AA49" s="1"/>
  <c r="AB49" s="1"/>
  <c r="Z49"/>
  <c r="F50"/>
  <c r="I50"/>
  <c r="L50"/>
  <c r="O50"/>
  <c r="R50"/>
  <c r="U50"/>
  <c r="X50"/>
  <c r="Y50"/>
  <c r="Z50"/>
  <c r="F51"/>
  <c r="I51"/>
  <c r="L51"/>
  <c r="O51"/>
  <c r="R51"/>
  <c r="T51"/>
  <c r="U51" s="1"/>
  <c r="X51"/>
  <c r="Y51"/>
  <c r="F52"/>
  <c r="I52"/>
  <c r="L52"/>
  <c r="O52"/>
  <c r="R52"/>
  <c r="U52"/>
  <c r="X52"/>
  <c r="Y52"/>
  <c r="Z52"/>
  <c r="AA52" s="1"/>
  <c r="AB52" s="1"/>
  <c r="F53"/>
  <c r="I53"/>
  <c r="L53"/>
  <c r="O53"/>
  <c r="R53"/>
  <c r="U53"/>
  <c r="X53"/>
  <c r="Y53"/>
  <c r="AA53" s="1"/>
  <c r="Z53"/>
  <c r="U54"/>
  <c r="X54"/>
  <c r="Y54"/>
  <c r="AA54" s="1"/>
  <c r="Z54"/>
  <c r="F55"/>
  <c r="I55"/>
  <c r="L55"/>
  <c r="O55"/>
  <c r="R55"/>
  <c r="U55"/>
  <c r="X55"/>
  <c r="Y55"/>
  <c r="AA55" s="1"/>
  <c r="AB55" s="1"/>
  <c r="Z55"/>
  <c r="F56"/>
  <c r="I56"/>
  <c r="L56"/>
  <c r="O56"/>
  <c r="R56"/>
  <c r="U56"/>
  <c r="X56"/>
  <c r="Y56"/>
  <c r="Z56"/>
  <c r="U57"/>
  <c r="X57"/>
  <c r="Y57"/>
  <c r="AA57" s="1"/>
  <c r="AB57" s="1"/>
  <c r="Z57"/>
  <c r="F58"/>
  <c r="I58"/>
  <c r="L58"/>
  <c r="O58"/>
  <c r="R58"/>
  <c r="U58"/>
  <c r="X58"/>
  <c r="Y58"/>
  <c r="Z58"/>
  <c r="AA58" s="1"/>
  <c r="AB58" s="1"/>
  <c r="F59"/>
  <c r="I59"/>
  <c r="L59"/>
  <c r="O59"/>
  <c r="R59"/>
  <c r="U59"/>
  <c r="X59"/>
  <c r="Y59"/>
  <c r="Z59"/>
  <c r="F60"/>
  <c r="U60"/>
  <c r="X60"/>
  <c r="Y60"/>
  <c r="Z60"/>
  <c r="F61"/>
  <c r="I61"/>
  <c r="L61"/>
  <c r="O61"/>
  <c r="R61"/>
  <c r="T61"/>
  <c r="U61" s="1"/>
  <c r="X61"/>
  <c r="Y61"/>
  <c r="F62"/>
  <c r="I62"/>
  <c r="L62"/>
  <c r="O62"/>
  <c r="R62"/>
  <c r="U62"/>
  <c r="X62"/>
  <c r="Y62"/>
  <c r="Z62"/>
  <c r="AA62" s="1"/>
  <c r="AB62" s="1"/>
  <c r="F63"/>
  <c r="U63"/>
  <c r="X63"/>
  <c r="Y63"/>
  <c r="Z63"/>
  <c r="F64"/>
  <c r="I64"/>
  <c r="L64"/>
  <c r="O64"/>
  <c r="R64"/>
  <c r="T64"/>
  <c r="U64"/>
  <c r="X64"/>
  <c r="Y64"/>
  <c r="AA64" s="1"/>
  <c r="AB64" s="1"/>
  <c r="X65"/>
  <c r="Y65"/>
  <c r="AA65" s="1"/>
  <c r="AB65" s="1"/>
  <c r="Z65"/>
  <c r="F66"/>
  <c r="I66"/>
  <c r="L66"/>
  <c r="O66"/>
  <c r="R66"/>
  <c r="T66"/>
  <c r="U66"/>
  <c r="X66"/>
  <c r="Y66"/>
  <c r="F67"/>
  <c r="H67"/>
  <c r="Z67" s="1"/>
  <c r="AA67" s="1"/>
  <c r="AB67" s="1"/>
  <c r="L67"/>
  <c r="O67"/>
  <c r="R67"/>
  <c r="U67"/>
  <c r="X67"/>
  <c r="Y67"/>
  <c r="F68"/>
  <c r="I68"/>
  <c r="L68"/>
  <c r="O68"/>
  <c r="R68"/>
  <c r="U68"/>
  <c r="X68"/>
  <c r="Y68"/>
  <c r="Z68"/>
  <c r="AA68" s="1"/>
  <c r="AB68" s="1"/>
  <c r="U69"/>
  <c r="X69"/>
  <c r="Y69"/>
  <c r="Z69"/>
  <c r="F70"/>
  <c r="I70"/>
  <c r="L70"/>
  <c r="O70"/>
  <c r="R70"/>
  <c r="U70"/>
  <c r="X70"/>
  <c r="Y70"/>
  <c r="AA70" s="1"/>
  <c r="Z70"/>
  <c r="R71"/>
  <c r="U71"/>
  <c r="X71"/>
  <c r="Y71"/>
  <c r="Z71"/>
  <c r="R72"/>
  <c r="U72"/>
  <c r="X72"/>
  <c r="Y72"/>
  <c r="Z72"/>
  <c r="F73"/>
  <c r="I73"/>
  <c r="L73"/>
  <c r="O73"/>
  <c r="R73"/>
  <c r="U73"/>
  <c r="X73"/>
  <c r="Y73"/>
  <c r="Z73"/>
  <c r="AA73" s="1"/>
  <c r="F74"/>
  <c r="U74"/>
  <c r="X74"/>
  <c r="Y74"/>
  <c r="AA74" s="1"/>
  <c r="Z74"/>
  <c r="F75"/>
  <c r="I75"/>
  <c r="L75"/>
  <c r="O75"/>
  <c r="R75"/>
  <c r="U75"/>
  <c r="X75"/>
  <c r="Y75"/>
  <c r="Z75"/>
  <c r="F76"/>
  <c r="I76"/>
  <c r="L76"/>
  <c r="O76"/>
  <c r="R76"/>
  <c r="U76"/>
  <c r="X76"/>
  <c r="Y76"/>
  <c r="AA76" s="1"/>
  <c r="AB76" s="1"/>
  <c r="Z76"/>
  <c r="F77"/>
  <c r="I77"/>
  <c r="L77"/>
  <c r="O77"/>
  <c r="R77"/>
  <c r="U77"/>
  <c r="X77"/>
  <c r="Y77"/>
  <c r="Z77"/>
  <c r="AA77" s="1"/>
  <c r="AB77" s="1"/>
  <c r="E78"/>
  <c r="F78"/>
  <c r="I78"/>
  <c r="L78"/>
  <c r="O78"/>
  <c r="R78"/>
  <c r="U78"/>
  <c r="X78"/>
  <c r="Y78"/>
  <c r="Z78"/>
  <c r="F79"/>
  <c r="I79"/>
  <c r="L79"/>
  <c r="O79"/>
  <c r="R79"/>
  <c r="U79"/>
  <c r="X79"/>
  <c r="Y79"/>
  <c r="Z79"/>
  <c r="F80"/>
  <c r="I80"/>
  <c r="L80"/>
  <c r="O80"/>
  <c r="R80"/>
  <c r="U80"/>
  <c r="X80"/>
  <c r="Y80"/>
  <c r="Z80"/>
  <c r="F81"/>
  <c r="U81"/>
  <c r="X81"/>
  <c r="Y81"/>
  <c r="AA81" s="1"/>
  <c r="Z81"/>
  <c r="F82"/>
  <c r="I82"/>
  <c r="L82"/>
  <c r="O82"/>
  <c r="R82"/>
  <c r="U82"/>
  <c r="X82"/>
  <c r="Y82"/>
  <c r="Z82"/>
  <c r="F83"/>
  <c r="I83"/>
  <c r="L83"/>
  <c r="O83"/>
  <c r="R83"/>
  <c r="U83"/>
  <c r="X83"/>
  <c r="Y83"/>
  <c r="AA83" s="1"/>
  <c r="AB83" s="1"/>
  <c r="Z83"/>
  <c r="F84"/>
  <c r="I84"/>
  <c r="L84"/>
  <c r="O84"/>
  <c r="R84"/>
  <c r="U84"/>
  <c r="X84"/>
  <c r="Y84"/>
  <c r="Z84"/>
  <c r="AA84" s="1"/>
  <c r="AB84" s="1"/>
  <c r="F85"/>
  <c r="I85"/>
  <c r="L85"/>
  <c r="O85"/>
  <c r="Q85"/>
  <c r="R85" s="1"/>
  <c r="Q104"/>
  <c r="U85"/>
  <c r="X85"/>
  <c r="Y85"/>
  <c r="F86"/>
  <c r="U86"/>
  <c r="X86"/>
  <c r="Y86"/>
  <c r="Z86"/>
  <c r="AA86" s="1"/>
  <c r="F87"/>
  <c r="I87"/>
  <c r="L87"/>
  <c r="O87"/>
  <c r="R87"/>
  <c r="T87"/>
  <c r="U87" s="1"/>
  <c r="X87"/>
  <c r="Y87"/>
  <c r="F88"/>
  <c r="I88"/>
  <c r="L88"/>
  <c r="O88"/>
  <c r="R88"/>
  <c r="U88"/>
  <c r="X88"/>
  <c r="Y88"/>
  <c r="Z88"/>
  <c r="F89"/>
  <c r="I89"/>
  <c r="L89"/>
  <c r="O89"/>
  <c r="R89"/>
  <c r="U89"/>
  <c r="X89"/>
  <c r="Y89"/>
  <c r="Z89"/>
  <c r="F90"/>
  <c r="I90"/>
  <c r="L90"/>
  <c r="O90"/>
  <c r="R90"/>
  <c r="U90"/>
  <c r="X90"/>
  <c r="Y90"/>
  <c r="Z90"/>
  <c r="AA90" s="1"/>
  <c r="AB90" s="1"/>
  <c r="F91"/>
  <c r="I91"/>
  <c r="L91"/>
  <c r="O91"/>
  <c r="R91"/>
  <c r="U91"/>
  <c r="X91"/>
  <c r="Y91"/>
  <c r="AA91" s="1"/>
  <c r="AB91" s="1"/>
  <c r="Z91"/>
  <c r="F92"/>
  <c r="I92"/>
  <c r="L92"/>
  <c r="O92"/>
  <c r="R92"/>
  <c r="U92"/>
  <c r="X92"/>
  <c r="Y92"/>
  <c r="Z92"/>
  <c r="E93"/>
  <c r="I93"/>
  <c r="L93"/>
  <c r="O93"/>
  <c r="R93"/>
  <c r="U93"/>
  <c r="X93"/>
  <c r="Y93"/>
  <c r="AA93" s="1"/>
  <c r="F94"/>
  <c r="I94"/>
  <c r="L94"/>
  <c r="O94"/>
  <c r="R94"/>
  <c r="U94"/>
  <c r="X94"/>
  <c r="Y94"/>
  <c r="AA94" s="1"/>
  <c r="Z94"/>
  <c r="U95"/>
  <c r="X95"/>
  <c r="Y95"/>
  <c r="Z95"/>
  <c r="F96"/>
  <c r="I96"/>
  <c r="L96"/>
  <c r="O96"/>
  <c r="U96"/>
  <c r="X96"/>
  <c r="Y96"/>
  <c r="Z96"/>
  <c r="F97"/>
  <c r="I97"/>
  <c r="L97"/>
  <c r="O97"/>
  <c r="U97"/>
  <c r="X97"/>
  <c r="Y97"/>
  <c r="Z97"/>
  <c r="F98"/>
  <c r="U98"/>
  <c r="X98"/>
  <c r="Y98"/>
  <c r="Z98"/>
  <c r="AA98" s="1"/>
  <c r="E99"/>
  <c r="F99"/>
  <c r="I99"/>
  <c r="L99"/>
  <c r="O99"/>
  <c r="U99"/>
  <c r="X99"/>
  <c r="Y99"/>
  <c r="AA99" s="1"/>
  <c r="AB99" s="1"/>
  <c r="X100"/>
  <c r="Y100"/>
  <c r="Z100"/>
  <c r="F101"/>
  <c r="I101"/>
  <c r="L101"/>
  <c r="O101"/>
  <c r="U101"/>
  <c r="X101"/>
  <c r="Y101"/>
  <c r="Z101"/>
  <c r="F102"/>
  <c r="U102"/>
  <c r="X102"/>
  <c r="Y102"/>
  <c r="Z102"/>
  <c r="F103"/>
  <c r="I103"/>
  <c r="L103"/>
  <c r="O103"/>
  <c r="U103"/>
  <c r="X103"/>
  <c r="Y103"/>
  <c r="Z103"/>
  <c r="AA103" s="1"/>
  <c r="AB103" s="1"/>
  <c r="D104"/>
  <c r="G104"/>
  <c r="J104"/>
  <c r="K104"/>
  <c r="M104"/>
  <c r="N104"/>
  <c r="P104"/>
  <c r="S104"/>
  <c r="V104"/>
  <c r="W104"/>
  <c r="E113"/>
  <c r="E114"/>
  <c r="C116"/>
  <c r="D116"/>
  <c r="C117"/>
  <c r="D117"/>
  <c r="D120" s="1"/>
  <c r="N12" i="3"/>
  <c r="AA59" i="66"/>
  <c r="AB59" s="1"/>
  <c r="AA102"/>
  <c r="AA37"/>
  <c r="AB37" s="1"/>
  <c r="AA31"/>
  <c r="AB31" s="1"/>
  <c r="AA97"/>
  <c r="AB97" s="1"/>
  <c r="AA96"/>
  <c r="AB96" s="1"/>
  <c r="AA95"/>
  <c r="AA89"/>
  <c r="AB89" s="1"/>
  <c r="AA19"/>
  <c r="AB19" s="1"/>
  <c r="AA15"/>
  <c r="AB15" s="1"/>
  <c r="AA79"/>
  <c r="AB79"/>
  <c r="AA56"/>
  <c r="AA50"/>
  <c r="AB50"/>
  <c r="AA72"/>
  <c r="AB72"/>
  <c r="AA101"/>
  <c r="AA100"/>
  <c r="AA92"/>
  <c r="AB92" s="1"/>
  <c r="AA88"/>
  <c r="AB88" s="1"/>
  <c r="AA80"/>
  <c r="AA69"/>
  <c r="AB69" s="1"/>
  <c r="Z66"/>
  <c r="AA66"/>
  <c r="AB66" s="1"/>
  <c r="Z64"/>
  <c r="AA60"/>
  <c r="AA44"/>
  <c r="AA38"/>
  <c r="AA18"/>
  <c r="AA12"/>
  <c r="AB12" s="1"/>
  <c r="AA34"/>
  <c r="AB34"/>
  <c r="AA82"/>
  <c r="AB82" s="1"/>
  <c r="AA78"/>
  <c r="AB78" s="1"/>
  <c r="AA75"/>
  <c r="AB75" s="1"/>
  <c r="AA71"/>
  <c r="AB71" s="1"/>
  <c r="AA63"/>
  <c r="AA47"/>
  <c r="AB47"/>
  <c r="AA42"/>
  <c r="AB42"/>
  <c r="Z41"/>
  <c r="AA41"/>
  <c r="AB41" s="1"/>
  <c r="AA33"/>
  <c r="AA20"/>
  <c r="AB20"/>
  <c r="AA16"/>
  <c r="AB16"/>
  <c r="F10" i="67"/>
  <c r="G10" s="1"/>
  <c r="E28"/>
  <c r="AB56" i="66"/>
  <c r="E116"/>
  <c r="Z35"/>
  <c r="Z99"/>
  <c r="Z87"/>
  <c r="AA87" s="1"/>
  <c r="AB87" s="1"/>
  <c r="C118"/>
  <c r="C121" s="1"/>
  <c r="O104"/>
  <c r="D118"/>
  <c r="D121" s="1"/>
  <c r="C120"/>
  <c r="E16" i="68"/>
  <c r="F93" i="66"/>
  <c r="Z93"/>
  <c r="X104"/>
  <c r="E104"/>
  <c r="T104"/>
  <c r="N16" i="36"/>
  <c r="AH21" i="10"/>
  <c r="L21" s="1"/>
  <c r="N15" i="3"/>
  <c r="AH19" i="10"/>
  <c r="L19" s="1"/>
  <c r="N21" i="42"/>
  <c r="L20"/>
  <c r="N20" s="1"/>
  <c r="N19"/>
  <c r="L18"/>
  <c r="L17"/>
  <c r="AE17" i="43"/>
  <c r="L17" s="1"/>
  <c r="AB17"/>
  <c r="L16" i="42"/>
  <c r="N16"/>
  <c r="L15"/>
  <c r="N18" i="36"/>
  <c r="S20" s="1"/>
  <c r="S36" s="1"/>
  <c r="D23" i="7" s="1"/>
  <c r="H29" i="16" s="1"/>
  <c r="I18" i="33"/>
  <c r="X22" i="57" s="1"/>
  <c r="R22"/>
  <c r="P15" i="12"/>
  <c r="N22" i="3"/>
  <c r="E28" i="57"/>
  <c r="G28" s="1"/>
  <c r="E25"/>
  <c r="E24"/>
  <c r="E23"/>
  <c r="E19"/>
  <c r="E17"/>
  <c r="N20" i="3"/>
  <c r="N18"/>
  <c r="N17"/>
  <c r="N16"/>
  <c r="N13"/>
  <c r="I16" i="37"/>
  <c r="F20" s="1"/>
  <c r="I20" s="1"/>
  <c r="F26" s="1"/>
  <c r="F16"/>
  <c r="A30" i="39"/>
  <c r="E16" i="36"/>
  <c r="H16"/>
  <c r="E18" s="1"/>
  <c r="H18" s="1"/>
  <c r="E22" s="1"/>
  <c r="D75" i="57"/>
  <c r="D12" i="33"/>
  <c r="K22" i="34" s="1"/>
  <c r="F20" i="25"/>
  <c r="C10" i="9"/>
  <c r="G9" i="43" s="1"/>
  <c r="E11" i="42"/>
  <c r="F7" i="37"/>
  <c r="D10" i="50"/>
  <c r="C7" i="12"/>
  <c r="D7" i="36"/>
  <c r="D7" i="34"/>
  <c r="D7" i="33"/>
  <c r="D6"/>
  <c r="C19" i="16"/>
  <c r="H33" i="37"/>
  <c r="D25" i="11"/>
  <c r="A25"/>
  <c r="M16" i="37"/>
  <c r="R24"/>
  <c r="K44" s="1"/>
  <c r="H31" i="16" s="1"/>
  <c r="F34" s="1"/>
  <c r="P26" i="37"/>
  <c r="M26"/>
  <c r="F50"/>
  <c r="F52"/>
  <c r="F54"/>
  <c r="A38" i="11"/>
  <c r="A39"/>
  <c r="A40"/>
  <c r="A41"/>
  <c r="D23"/>
  <c r="D24"/>
  <c r="D26"/>
  <c r="A23"/>
  <c r="A24"/>
  <c r="A26"/>
  <c r="A27"/>
  <c r="AD28" i="9"/>
  <c r="J28" s="1"/>
  <c r="AD29"/>
  <c r="J29" s="1"/>
  <c r="AD30"/>
  <c r="J30" s="1"/>
  <c r="AD31"/>
  <c r="J31" s="1"/>
  <c r="AD32"/>
  <c r="J32" s="1"/>
  <c r="AD33"/>
  <c r="J33" s="1"/>
  <c r="AD34"/>
  <c r="J34" s="1"/>
  <c r="AD35"/>
  <c r="J35" s="1"/>
  <c r="AD36"/>
  <c r="J36" s="1"/>
  <c r="AD27"/>
  <c r="J27" s="1"/>
  <c r="N23" i="42"/>
  <c r="AI16" i="43"/>
  <c r="P16" s="1"/>
  <c r="AI17"/>
  <c r="P17" s="1"/>
  <c r="AI18"/>
  <c r="P18" s="1"/>
  <c r="AI19"/>
  <c r="P19" s="1"/>
  <c r="AI20"/>
  <c r="P20" s="1"/>
  <c r="AI21"/>
  <c r="P21" s="1"/>
  <c r="AI15"/>
  <c r="P15" s="1"/>
  <c r="AF16"/>
  <c r="AF17"/>
  <c r="M17" s="1"/>
  <c r="AF18"/>
  <c r="M18" s="1"/>
  <c r="AF19"/>
  <c r="M19" s="1"/>
  <c r="AF20"/>
  <c r="M20" s="1"/>
  <c r="AF21"/>
  <c r="M21" s="1"/>
  <c r="AF15"/>
  <c r="AE16"/>
  <c r="L16" s="1"/>
  <c r="AE18"/>
  <c r="L18" s="1"/>
  <c r="AE19"/>
  <c r="L19" s="1"/>
  <c r="AE20"/>
  <c r="L20" s="1"/>
  <c r="AE21"/>
  <c r="L21" s="1"/>
  <c r="AE15"/>
  <c r="L15" s="1"/>
  <c r="AC16"/>
  <c r="J16" s="1"/>
  <c r="AC17"/>
  <c r="J17" s="1"/>
  <c r="AC18"/>
  <c r="J18" s="1"/>
  <c r="AC19"/>
  <c r="J19" s="1"/>
  <c r="AC20"/>
  <c r="J20" s="1"/>
  <c r="AC21"/>
  <c r="J21" s="1"/>
  <c r="AC15"/>
  <c r="J15" s="1"/>
  <c r="AB16"/>
  <c r="I16" s="1"/>
  <c r="AB18"/>
  <c r="I18" s="1"/>
  <c r="N18" s="1"/>
  <c r="AB19"/>
  <c r="I19" s="1"/>
  <c r="AB21"/>
  <c r="I21" s="1"/>
  <c r="N21" s="1"/>
  <c r="AB15"/>
  <c r="I15" s="1"/>
  <c r="Z16"/>
  <c r="G16" s="1"/>
  <c r="Z17"/>
  <c r="G17" s="1"/>
  <c r="Z18"/>
  <c r="G18" s="1"/>
  <c r="Z19"/>
  <c r="G19" s="1"/>
  <c r="Z20"/>
  <c r="G20" s="1"/>
  <c r="Z21"/>
  <c r="G21" s="1"/>
  <c r="Z15"/>
  <c r="Y16"/>
  <c r="F16" s="1"/>
  <c r="Y17"/>
  <c r="Y18"/>
  <c r="F18" s="1"/>
  <c r="Y19"/>
  <c r="F19" s="1"/>
  <c r="Y20"/>
  <c r="F20" s="1"/>
  <c r="Y21"/>
  <c r="F21" s="1"/>
  <c r="Y15"/>
  <c r="F15" s="1"/>
  <c r="U16"/>
  <c r="B16" s="1"/>
  <c r="V16"/>
  <c r="W16"/>
  <c r="D16" s="1"/>
  <c r="U17"/>
  <c r="B17" s="1"/>
  <c r="V17"/>
  <c r="W17"/>
  <c r="D17" s="1"/>
  <c r="U18"/>
  <c r="B18" s="1"/>
  <c r="V18"/>
  <c r="W18"/>
  <c r="D18" s="1"/>
  <c r="U19"/>
  <c r="B19" s="1"/>
  <c r="V19"/>
  <c r="W19"/>
  <c r="D19" s="1"/>
  <c r="U20"/>
  <c r="B20" s="1"/>
  <c r="V20"/>
  <c r="W20"/>
  <c r="D20" s="1"/>
  <c r="U21"/>
  <c r="B21" s="1"/>
  <c r="V21"/>
  <c r="W21"/>
  <c r="D21" s="1"/>
  <c r="V15"/>
  <c r="C15" s="1"/>
  <c r="W15"/>
  <c r="D15" s="1"/>
  <c r="U15"/>
  <c r="B15" s="1"/>
  <c r="AG16"/>
  <c r="L63" i="51"/>
  <c r="C63" s="1"/>
  <c r="O81"/>
  <c r="O79"/>
  <c r="F79" s="1"/>
  <c r="O77"/>
  <c r="F77" s="1"/>
  <c r="O75"/>
  <c r="O73"/>
  <c r="F73" s="1"/>
  <c r="O71"/>
  <c r="F71" s="1"/>
  <c r="O69"/>
  <c r="F69" s="1"/>
  <c r="O65"/>
  <c r="O63"/>
  <c r="F63" s="1"/>
  <c r="O61"/>
  <c r="F61" s="1"/>
  <c r="O59"/>
  <c r="F59" s="1"/>
  <c r="O57"/>
  <c r="F57" s="1"/>
  <c r="O55"/>
  <c r="F55" s="1"/>
  <c r="O53"/>
  <c r="F53" s="1"/>
  <c r="O48"/>
  <c r="F48" s="1"/>
  <c r="O46"/>
  <c r="F46" s="1"/>
  <c r="O44"/>
  <c r="O42"/>
  <c r="F42" s="1"/>
  <c r="O40"/>
  <c r="F40" s="1"/>
  <c r="O38"/>
  <c r="F38" s="1"/>
  <c r="O36"/>
  <c r="F36" s="1"/>
  <c r="L79"/>
  <c r="C79" s="1"/>
  <c r="L77"/>
  <c r="C77" s="1"/>
  <c r="L75"/>
  <c r="L73"/>
  <c r="C73" s="1"/>
  <c r="L71"/>
  <c r="C71" s="1"/>
  <c r="L69"/>
  <c r="C69" s="1"/>
  <c r="C15" s="1"/>
  <c r="L61"/>
  <c r="C61" s="1"/>
  <c r="L59"/>
  <c r="C59" s="1"/>
  <c r="L57"/>
  <c r="M14" s="1"/>
  <c r="L55"/>
  <c r="C55" s="1"/>
  <c r="L53"/>
  <c r="L14" s="1"/>
  <c r="L46"/>
  <c r="C46" s="1"/>
  <c r="L44"/>
  <c r="C44" s="1"/>
  <c r="L42"/>
  <c r="L40"/>
  <c r="C40" s="1"/>
  <c r="L38"/>
  <c r="C38" s="1"/>
  <c r="L36"/>
  <c r="C36" s="1"/>
  <c r="C13" s="1"/>
  <c r="O32"/>
  <c r="O30"/>
  <c r="F30" s="1"/>
  <c r="O28"/>
  <c r="F28" s="1"/>
  <c r="O26"/>
  <c r="F26" s="1"/>
  <c r="O24"/>
  <c r="F24" s="1"/>
  <c r="O22"/>
  <c r="F22" s="1"/>
  <c r="O20"/>
  <c r="F20" s="1"/>
  <c r="L30"/>
  <c r="C30" s="1"/>
  <c r="L28"/>
  <c r="C28" s="1"/>
  <c r="L26"/>
  <c r="C26" s="1"/>
  <c r="L24"/>
  <c r="C24" s="1"/>
  <c r="L22"/>
  <c r="C22" s="1"/>
  <c r="L20"/>
  <c r="L12" s="1"/>
  <c r="F81"/>
  <c r="F75"/>
  <c r="F65"/>
  <c r="F44"/>
  <c r="F32"/>
  <c r="C75"/>
  <c r="C42"/>
  <c r="D12" i="45"/>
  <c r="X23" i="57"/>
  <c r="S23"/>
  <c r="R23"/>
  <c r="S22"/>
  <c r="S18"/>
  <c r="X17"/>
  <c r="W17"/>
  <c r="S17"/>
  <c r="R17"/>
  <c r="P15"/>
  <c r="V20" i="12"/>
  <c r="Q19"/>
  <c r="D19" s="1"/>
  <c r="Q20"/>
  <c r="D20" s="1"/>
  <c r="P20"/>
  <c r="V14"/>
  <c r="U14"/>
  <c r="Q14"/>
  <c r="Q15"/>
  <c r="P14"/>
  <c r="N12"/>
  <c r="AH13" i="10"/>
  <c r="L13" s="1"/>
  <c r="AH14"/>
  <c r="L14"/>
  <c r="AH18"/>
  <c r="L18" s="1"/>
  <c r="AH20"/>
  <c r="L20" s="1"/>
  <c r="AH22"/>
  <c r="L22" s="1"/>
  <c r="AH23"/>
  <c r="L23"/>
  <c r="AH12"/>
  <c r="L12" s="1"/>
  <c r="AG13"/>
  <c r="K13" s="1"/>
  <c r="P13" s="1"/>
  <c r="AG14"/>
  <c r="K14" s="1"/>
  <c r="AG15"/>
  <c r="K15" s="1"/>
  <c r="AG16"/>
  <c r="K16" s="1"/>
  <c r="AG17"/>
  <c r="K17" s="1"/>
  <c r="AG18"/>
  <c r="K18" s="1"/>
  <c r="AG19"/>
  <c r="K19" s="1"/>
  <c r="AG20"/>
  <c r="K20" s="1"/>
  <c r="AG21"/>
  <c r="K21" s="1"/>
  <c r="AG22"/>
  <c r="K22" s="1"/>
  <c r="AG23"/>
  <c r="K23" s="1"/>
  <c r="AG12"/>
  <c r="K12" s="1"/>
  <c r="AF13"/>
  <c r="J13" s="1"/>
  <c r="AF14"/>
  <c r="J14" s="1"/>
  <c r="AF15"/>
  <c r="J15" s="1"/>
  <c r="AF16"/>
  <c r="J16" s="1"/>
  <c r="AF17"/>
  <c r="J17" s="1"/>
  <c r="AF18"/>
  <c r="J18" s="1"/>
  <c r="AF19"/>
  <c r="J19" s="1"/>
  <c r="AF20"/>
  <c r="J20" s="1"/>
  <c r="AF21"/>
  <c r="J21" s="1"/>
  <c r="AF22"/>
  <c r="J22" s="1"/>
  <c r="AF23"/>
  <c r="J23" s="1"/>
  <c r="AF12"/>
  <c r="J12" s="1"/>
  <c r="AE13"/>
  <c r="I13" s="1"/>
  <c r="AE14"/>
  <c r="I14" s="1"/>
  <c r="AE15"/>
  <c r="I15" s="1"/>
  <c r="AE16"/>
  <c r="I16" s="1"/>
  <c r="AE17"/>
  <c r="I17" s="1"/>
  <c r="AE18"/>
  <c r="I18" s="1"/>
  <c r="AE19"/>
  <c r="I19" s="1"/>
  <c r="AE20"/>
  <c r="I20" s="1"/>
  <c r="AE21"/>
  <c r="I21" s="1"/>
  <c r="AE22"/>
  <c r="I22" s="1"/>
  <c r="AE23"/>
  <c r="I23" s="1"/>
  <c r="AE12"/>
  <c r="I12" s="1"/>
  <c r="AD13"/>
  <c r="H13" s="1"/>
  <c r="AD14"/>
  <c r="H14" s="1"/>
  <c r="AD15"/>
  <c r="H15" s="1"/>
  <c r="AD16"/>
  <c r="H16" s="1"/>
  <c r="AD17"/>
  <c r="H17" s="1"/>
  <c r="AD18"/>
  <c r="H18" s="1"/>
  <c r="AD19"/>
  <c r="H19" s="1"/>
  <c r="AD20"/>
  <c r="H20" s="1"/>
  <c r="AD21"/>
  <c r="H21" s="1"/>
  <c r="AD22"/>
  <c r="H22" s="1"/>
  <c r="AD23"/>
  <c r="H23" s="1"/>
  <c r="AD12"/>
  <c r="H12" s="1"/>
  <c r="Y13"/>
  <c r="C13" s="1"/>
  <c r="Y14"/>
  <c r="C14" s="1"/>
  <c r="Y15"/>
  <c r="C15" s="1"/>
  <c r="Y16"/>
  <c r="C16" s="1"/>
  <c r="Y17"/>
  <c r="C17" s="1"/>
  <c r="Y18"/>
  <c r="C18" s="1"/>
  <c r="Y19"/>
  <c r="C19" s="1"/>
  <c r="Y20"/>
  <c r="C20" s="1"/>
  <c r="Y21"/>
  <c r="C21" s="1"/>
  <c r="Y22"/>
  <c r="C22" s="1"/>
  <c r="Y23"/>
  <c r="C23" s="1"/>
  <c r="Y12"/>
  <c r="C12" s="1"/>
  <c r="X13"/>
  <c r="B13" s="1"/>
  <c r="X14"/>
  <c r="B14" s="1"/>
  <c r="X15"/>
  <c r="B15" s="1"/>
  <c r="X16"/>
  <c r="B16" s="1"/>
  <c r="X17"/>
  <c r="B17" s="1"/>
  <c r="X18"/>
  <c r="B18" s="1"/>
  <c r="X19"/>
  <c r="B19" s="1"/>
  <c r="X20"/>
  <c r="B20" s="1"/>
  <c r="X21"/>
  <c r="B21" s="1"/>
  <c r="X22"/>
  <c r="B22" s="1"/>
  <c r="X23"/>
  <c r="B23" s="1"/>
  <c r="X12"/>
  <c r="B12" s="1"/>
  <c r="W13"/>
  <c r="A13" s="1"/>
  <c r="W14"/>
  <c r="A14" s="1"/>
  <c r="W15"/>
  <c r="A15" s="1"/>
  <c r="W16"/>
  <c r="A16" s="1"/>
  <c r="W17"/>
  <c r="A17" s="1"/>
  <c r="W18"/>
  <c r="A18" s="1"/>
  <c r="W19"/>
  <c r="A19" s="1"/>
  <c r="W20"/>
  <c r="A20" s="1"/>
  <c r="W21"/>
  <c r="A21" s="1"/>
  <c r="W22"/>
  <c r="A22" s="1"/>
  <c r="W23"/>
  <c r="A23" s="1"/>
  <c r="W12"/>
  <c r="A12" s="1"/>
  <c r="AC28" i="9"/>
  <c r="I28" s="1"/>
  <c r="AC29"/>
  <c r="I29" s="1"/>
  <c r="AC30"/>
  <c r="I30" s="1"/>
  <c r="AC31"/>
  <c r="I31" s="1"/>
  <c r="AC32"/>
  <c r="I32" s="1"/>
  <c r="AC33"/>
  <c r="I33" s="1"/>
  <c r="AC34"/>
  <c r="I34" s="1"/>
  <c r="AC35"/>
  <c r="I35"/>
  <c r="AC36"/>
  <c r="I36" s="1"/>
  <c r="AC27"/>
  <c r="I27" s="1"/>
  <c r="AB28"/>
  <c r="H28" s="1"/>
  <c r="AB29"/>
  <c r="H29" s="1"/>
  <c r="AB30"/>
  <c r="H30" s="1"/>
  <c r="AB31"/>
  <c r="H31" s="1"/>
  <c r="AB32"/>
  <c r="H32" s="1"/>
  <c r="AB33"/>
  <c r="H33" s="1"/>
  <c r="AB34"/>
  <c r="H34" s="1"/>
  <c r="AB35"/>
  <c r="H35" s="1"/>
  <c r="AB36"/>
  <c r="H36" s="1"/>
  <c r="AB27"/>
  <c r="H27" s="1"/>
  <c r="AA28"/>
  <c r="G28" s="1"/>
  <c r="AA29"/>
  <c r="G29" s="1"/>
  <c r="AA30"/>
  <c r="G30" s="1"/>
  <c r="AA31"/>
  <c r="G31"/>
  <c r="AA32"/>
  <c r="G32" s="1"/>
  <c r="AA33"/>
  <c r="G33" s="1"/>
  <c r="AA34"/>
  <c r="G34" s="1"/>
  <c r="AA35"/>
  <c r="G35" s="1"/>
  <c r="AA36"/>
  <c r="G36" s="1"/>
  <c r="AA27"/>
  <c r="G27" s="1"/>
  <c r="Z28"/>
  <c r="F28" s="1"/>
  <c r="Z29"/>
  <c r="F29" s="1"/>
  <c r="Z30"/>
  <c r="F30" s="1"/>
  <c r="Z31"/>
  <c r="F31" s="1"/>
  <c r="Z32"/>
  <c r="F32" s="1"/>
  <c r="Z33"/>
  <c r="F33" s="1"/>
  <c r="Z34"/>
  <c r="F34" s="1"/>
  <c r="Z35"/>
  <c r="F35" s="1"/>
  <c r="Z36"/>
  <c r="F36" s="1"/>
  <c r="Z27"/>
  <c r="F27"/>
  <c r="U28"/>
  <c r="A28" s="1"/>
  <c r="U29"/>
  <c r="A29" s="1"/>
  <c r="U30"/>
  <c r="A30" s="1"/>
  <c r="U31"/>
  <c r="A31" s="1"/>
  <c r="U32"/>
  <c r="A32" s="1"/>
  <c r="U33"/>
  <c r="A33" s="1"/>
  <c r="U34"/>
  <c r="A34" s="1"/>
  <c r="U35"/>
  <c r="A35" s="1"/>
  <c r="U36"/>
  <c r="A36" s="1"/>
  <c r="U27"/>
  <c r="A27" s="1"/>
  <c r="V28"/>
  <c r="B28" s="1"/>
  <c r="V29"/>
  <c r="B29" s="1"/>
  <c r="V30"/>
  <c r="B30" s="1"/>
  <c r="V31"/>
  <c r="B31" s="1"/>
  <c r="V32"/>
  <c r="B32" s="1"/>
  <c r="V33"/>
  <c r="B33"/>
  <c r="V34"/>
  <c r="B34" s="1"/>
  <c r="V35"/>
  <c r="B35" s="1"/>
  <c r="V36"/>
  <c r="B36" s="1"/>
  <c r="V27"/>
  <c r="B27" s="1"/>
  <c r="C15" i="45"/>
  <c r="C14"/>
  <c r="C13"/>
  <c r="C12"/>
  <c r="E19" i="33"/>
  <c r="J13"/>
  <c r="E13"/>
  <c r="H22" i="36"/>
  <c r="I26" i="37" s="1"/>
  <c r="C7" i="51"/>
  <c r="C5" i="57"/>
  <c r="C4"/>
  <c r="C3"/>
  <c r="D3" i="50"/>
  <c r="D5"/>
  <c r="D8"/>
  <c r="D9"/>
  <c r="D6"/>
  <c r="D7"/>
  <c r="D3" i="3"/>
  <c r="J52" i="57"/>
  <c r="I52"/>
  <c r="F52"/>
  <c r="E52"/>
  <c r="K51"/>
  <c r="G51"/>
  <c r="K50"/>
  <c r="G50"/>
  <c r="K49"/>
  <c r="G49"/>
  <c r="K48"/>
  <c r="G48"/>
  <c r="K47"/>
  <c r="K52" s="1"/>
  <c r="G47"/>
  <c r="G52" s="1"/>
  <c r="J40"/>
  <c r="I40"/>
  <c r="F40"/>
  <c r="E40"/>
  <c r="K39"/>
  <c r="G39"/>
  <c r="K38"/>
  <c r="G38"/>
  <c r="K37"/>
  <c r="G37"/>
  <c r="K36"/>
  <c r="G36"/>
  <c r="G40"/>
  <c r="K35"/>
  <c r="G35"/>
  <c r="J30"/>
  <c r="I30"/>
  <c r="F30"/>
  <c r="K29"/>
  <c r="G29"/>
  <c r="K28"/>
  <c r="K27"/>
  <c r="G27"/>
  <c r="K26"/>
  <c r="G26"/>
  <c r="K25"/>
  <c r="G25"/>
  <c r="K24"/>
  <c r="G24"/>
  <c r="K23"/>
  <c r="G23"/>
  <c r="K22"/>
  <c r="G22"/>
  <c r="K21"/>
  <c r="G21"/>
  <c r="K20"/>
  <c r="G20"/>
  <c r="K19"/>
  <c r="K18"/>
  <c r="G18"/>
  <c r="K17"/>
  <c r="K30" s="1"/>
  <c r="G17"/>
  <c r="K40"/>
  <c r="C21" i="43"/>
  <c r="C20"/>
  <c r="C19"/>
  <c r="C18"/>
  <c r="C17"/>
  <c r="C16"/>
  <c r="L7"/>
  <c r="H7"/>
  <c r="L6"/>
  <c r="H6"/>
  <c r="J29" i="16"/>
  <c r="D3"/>
  <c r="J42" i="37"/>
  <c r="J41"/>
  <c r="M20"/>
  <c r="G24" i="25"/>
  <c r="K40" i="37" s="1"/>
  <c r="F23" i="25"/>
  <c r="F22"/>
  <c r="F19"/>
  <c r="F18"/>
  <c r="F17"/>
  <c r="F15"/>
  <c r="F14"/>
  <c r="C27" i="39"/>
  <c r="I24"/>
  <c r="H24"/>
  <c r="D24"/>
  <c r="C24"/>
  <c r="J23"/>
  <c r="E23"/>
  <c r="J22"/>
  <c r="E22"/>
  <c r="J21"/>
  <c r="E21"/>
  <c r="J20"/>
  <c r="E20"/>
  <c r="J19"/>
  <c r="E19"/>
  <c r="J18"/>
  <c r="J24" s="1"/>
  <c r="E18"/>
  <c r="E24" s="1"/>
  <c r="C12"/>
  <c r="D49" i="11"/>
  <c r="C49"/>
  <c r="D48"/>
  <c r="C48"/>
  <c r="A37"/>
  <c r="A36"/>
  <c r="A35"/>
  <c r="A34"/>
  <c r="A33"/>
  <c r="D22"/>
  <c r="A22"/>
  <c r="D21"/>
  <c r="A21"/>
  <c r="D20"/>
  <c r="A20"/>
  <c r="D19"/>
  <c r="A19"/>
  <c r="D18"/>
  <c r="A18"/>
  <c r="D17"/>
  <c r="A17"/>
  <c r="D16"/>
  <c r="A16"/>
  <c r="C18" i="9"/>
  <c r="L14" i="16" s="1"/>
  <c r="F17" i="9"/>
  <c r="G5" i="25" s="1"/>
  <c r="F16" i="9"/>
  <c r="O12" i="16" s="1"/>
  <c r="D16" i="9"/>
  <c r="M12" i="16" s="1"/>
  <c r="C14" i="9"/>
  <c r="D14" i="16" s="1"/>
  <c r="F13" i="9"/>
  <c r="G13" i="16" s="1"/>
  <c r="D13" i="9"/>
  <c r="E13" i="16" s="1"/>
  <c r="F12" i="9"/>
  <c r="G4" i="12" s="1"/>
  <c r="D12" i="9"/>
  <c r="E12" i="16" s="1"/>
  <c r="C9" i="9"/>
  <c r="D9" i="16" s="1"/>
  <c r="C8" i="9"/>
  <c r="D8" i="16" s="1"/>
  <c r="C7" i="9"/>
  <c r="F3" i="37" s="1"/>
  <c r="C6" i="9"/>
  <c r="D6" i="16" s="1"/>
  <c r="C5" i="9"/>
  <c r="D5" i="16" s="1"/>
  <c r="J36" i="42"/>
  <c r="G36"/>
  <c r="F36"/>
  <c r="N34"/>
  <c r="N33"/>
  <c r="N32"/>
  <c r="N31"/>
  <c r="N30"/>
  <c r="N29"/>
  <c r="N28"/>
  <c r="N27"/>
  <c r="N26"/>
  <c r="N25"/>
  <c r="N24"/>
  <c r="N22"/>
  <c r="G10"/>
  <c r="L9"/>
  <c r="H9"/>
  <c r="L8"/>
  <c r="H8"/>
  <c r="G7"/>
  <c r="D15" i="45"/>
  <c r="D13"/>
  <c r="D16" s="1"/>
  <c r="A25" i="7"/>
  <c r="C16"/>
  <c r="F15"/>
  <c r="F14"/>
  <c r="D14"/>
  <c r="C12"/>
  <c r="F11"/>
  <c r="D11"/>
  <c r="F10"/>
  <c r="D10"/>
  <c r="C8"/>
  <c r="C7"/>
  <c r="C6"/>
  <c r="C5"/>
  <c r="C4"/>
  <c r="C3"/>
  <c r="F6" i="36"/>
  <c r="I5"/>
  <c r="G5"/>
  <c r="I4"/>
  <c r="G4"/>
  <c r="F3"/>
  <c r="M19" i="34"/>
  <c r="D6"/>
  <c r="G5"/>
  <c r="E5"/>
  <c r="G4"/>
  <c r="E4"/>
  <c r="D3"/>
  <c r="D6" i="38"/>
  <c r="G5"/>
  <c r="E5"/>
  <c r="G4"/>
  <c r="E4"/>
  <c r="D3"/>
  <c r="D17" i="33"/>
  <c r="G5"/>
  <c r="E5"/>
  <c r="G4"/>
  <c r="E4"/>
  <c r="D3"/>
  <c r="D6" i="4"/>
  <c r="G5"/>
  <c r="E5"/>
  <c r="G4"/>
  <c r="E4"/>
  <c r="D3"/>
  <c r="D6" i="3"/>
  <c r="G5"/>
  <c r="E5"/>
  <c r="G4"/>
  <c r="E4"/>
  <c r="F5" i="30"/>
  <c r="D14" i="45"/>
  <c r="D15" i="7"/>
  <c r="D17" i="9"/>
  <c r="M13" i="16" s="1"/>
  <c r="G4" i="10"/>
  <c r="F4" i="11"/>
  <c r="F5" i="41"/>
  <c r="D13" i="12"/>
  <c r="D5" i="11"/>
  <c r="F5"/>
  <c r="I4" i="39"/>
  <c r="M13" i="51"/>
  <c r="P19" i="12"/>
  <c r="P18" s="1"/>
  <c r="V19"/>
  <c r="M15" i="51"/>
  <c r="AB20" i="43"/>
  <c r="I20" s="1"/>
  <c r="I17" i="33"/>
  <c r="P16" i="37"/>
  <c r="G19" i="57"/>
  <c r="I36" i="42"/>
  <c r="N15"/>
  <c r="N17"/>
  <c r="AG15" i="43"/>
  <c r="N18" i="42"/>
  <c r="I18" i="12"/>
  <c r="D53" i="70"/>
  <c r="D56" s="1"/>
  <c r="D58" s="1"/>
  <c r="G58" s="1"/>
  <c r="G30" i="57" l="1"/>
  <c r="D11" i="68"/>
  <c r="D13" s="1"/>
  <c r="E30" i="57"/>
  <c r="N36" i="42"/>
  <c r="E4" i="25"/>
  <c r="E5"/>
  <c r="H5" i="37"/>
  <c r="C57" i="51"/>
  <c r="L13"/>
  <c r="I5" i="39"/>
  <c r="F4" i="41"/>
  <c r="F4" i="13"/>
  <c r="H4" i="37"/>
  <c r="F4" i="30"/>
  <c r="G12" i="16"/>
  <c r="C3" i="13"/>
  <c r="E16" i="45"/>
  <c r="T23" i="57"/>
  <c r="C53" i="51"/>
  <c r="C14" s="1"/>
  <c r="AG21" i="43"/>
  <c r="N19"/>
  <c r="N16"/>
  <c r="R19" i="12"/>
  <c r="X16" i="57"/>
  <c r="I12" i="33"/>
  <c r="V15" i="12"/>
  <c r="V13" s="1"/>
  <c r="W14"/>
  <c r="R14"/>
  <c r="C14"/>
  <c r="H14" s="1"/>
  <c r="J14" s="1"/>
  <c r="J5" i="37"/>
  <c r="J4"/>
  <c r="G4" i="25"/>
  <c r="D5" i="41"/>
  <c r="E5" i="10"/>
  <c r="D5" i="39"/>
  <c r="M12" i="51"/>
  <c r="M16" s="1"/>
  <c r="N16" s="1"/>
  <c r="Q18" i="12"/>
  <c r="R18" s="1"/>
  <c r="D10" i="16"/>
  <c r="A29" s="1"/>
  <c r="R20" i="12"/>
  <c r="D12" i="51"/>
  <c r="Z23" i="43"/>
  <c r="D4" i="12"/>
  <c r="V18"/>
  <c r="X21" i="57"/>
  <c r="S21"/>
  <c r="AG20" i="43"/>
  <c r="AG19"/>
  <c r="E14" i="12"/>
  <c r="D3" i="10"/>
  <c r="D4" i="13"/>
  <c r="T17" i="57"/>
  <c r="Y23" i="43"/>
  <c r="P13" i="12"/>
  <c r="C15"/>
  <c r="R15"/>
  <c r="M24" i="34"/>
  <c r="M26" s="1"/>
  <c r="N31" i="36" s="1"/>
  <c r="S34" s="1"/>
  <c r="F21" i="25"/>
  <c r="F24" s="1"/>
  <c r="J40" i="37" s="1"/>
  <c r="R21" i="57"/>
  <c r="T22"/>
  <c r="I17" i="43"/>
  <c r="N17" s="1"/>
  <c r="AB23"/>
  <c r="AG17"/>
  <c r="AB5" i="66"/>
  <c r="E118"/>
  <c r="E121" s="1"/>
  <c r="U104"/>
  <c r="R104"/>
  <c r="W23" i="57"/>
  <c r="Y23" s="1"/>
  <c r="J19" i="33"/>
  <c r="U20" i="12"/>
  <c r="W20" s="1"/>
  <c r="D13" i="51"/>
  <c r="AE23" i="43"/>
  <c r="F6" i="37"/>
  <c r="G5" i="43"/>
  <c r="C6" i="12"/>
  <c r="E14" i="33"/>
  <c r="C20" i="51"/>
  <c r="C12" s="1"/>
  <c r="AH16" i="10"/>
  <c r="L16" s="1"/>
  <c r="Q13" i="12"/>
  <c r="C20"/>
  <c r="S16" i="57"/>
  <c r="R18"/>
  <c r="L15" i="51"/>
  <c r="D15"/>
  <c r="D14"/>
  <c r="F17" i="43"/>
  <c r="F23" s="1"/>
  <c r="G15"/>
  <c r="G23" s="1"/>
  <c r="P20" i="37"/>
  <c r="R22" s="1"/>
  <c r="J44" s="1"/>
  <c r="N19" i="3"/>
  <c r="N21"/>
  <c r="H104" i="66"/>
  <c r="Y104"/>
  <c r="D119"/>
  <c r="Z51"/>
  <c r="AA51" s="1"/>
  <c r="AB51" s="1"/>
  <c r="Z61"/>
  <c r="AA61" s="1"/>
  <c r="AB61" s="1"/>
  <c r="I67"/>
  <c r="I104" s="1"/>
  <c r="E9" i="68"/>
  <c r="E11" s="1"/>
  <c r="E13" s="1"/>
  <c r="D37" i="67"/>
  <c r="E48"/>
  <c r="C43"/>
  <c r="C35"/>
  <c r="C19" i="12"/>
  <c r="C6" i="11"/>
  <c r="C17" i="33"/>
  <c r="E17" s="1"/>
  <c r="L23" i="43"/>
  <c r="L36" i="42"/>
  <c r="D57" i="70"/>
  <c r="G60" s="1"/>
  <c r="N20" i="43"/>
  <c r="C3" i="11"/>
  <c r="E4" i="10"/>
  <c r="D4" i="30"/>
  <c r="C6" i="13"/>
  <c r="G8" i="43"/>
  <c r="C12" i="33"/>
  <c r="E12" s="1"/>
  <c r="AC23" i="43"/>
  <c r="C119" i="66"/>
  <c r="D4" i="39"/>
  <c r="C3"/>
  <c r="D7" i="16"/>
  <c r="G5" i="12"/>
  <c r="A31" i="16"/>
  <c r="D6" i="25"/>
  <c r="C3" i="12"/>
  <c r="D4" i="41"/>
  <c r="D6" i="10"/>
  <c r="C6" i="39"/>
  <c r="C3" i="30"/>
  <c r="E18" i="33"/>
  <c r="D4" i="11"/>
  <c r="F5" i="13"/>
  <c r="D5" i="12"/>
  <c r="D5" i="13"/>
  <c r="C3" i="41"/>
  <c r="C6" i="30"/>
  <c r="D5"/>
  <c r="O13" i="16"/>
  <c r="G5" i="10"/>
  <c r="C6" i="41"/>
  <c r="D3" i="25"/>
  <c r="AH17" i="10"/>
  <c r="L17" s="1"/>
  <c r="AH15"/>
  <c r="L15" s="1"/>
  <c r="Y17" i="57"/>
  <c r="AG18" i="43"/>
  <c r="Z85" i="66"/>
  <c r="AA85" s="1"/>
  <c r="AB85" s="1"/>
  <c r="D18" i="12"/>
  <c r="E19"/>
  <c r="N15" i="43"/>
  <c r="I23"/>
  <c r="J23"/>
  <c r="N23" l="1"/>
  <c r="R13" i="12"/>
  <c r="D16" i="51"/>
  <c r="E16" s="1"/>
  <c r="AG23" i="43"/>
  <c r="T21" i="57"/>
  <c r="C18" i="12"/>
  <c r="E18" s="1"/>
  <c r="H19"/>
  <c r="W18" i="57"/>
  <c r="J14" i="33"/>
  <c r="U15" i="12"/>
  <c r="H12" i="33"/>
  <c r="J12" s="1"/>
  <c r="E20" i="12"/>
  <c r="H20"/>
  <c r="J20" s="1"/>
  <c r="E15"/>
  <c r="H15"/>
  <c r="C13"/>
  <c r="E13" s="1"/>
  <c r="W22" i="57"/>
  <c r="J18" i="33"/>
  <c r="U19" i="12"/>
  <c r="H17" i="33"/>
  <c r="J17" s="1"/>
  <c r="T18" i="57"/>
  <c r="R16"/>
  <c r="T16" s="1"/>
  <c r="Z104" i="66"/>
  <c r="AA104"/>
  <c r="AB104" s="1"/>
  <c r="Y22" i="57" l="1"/>
  <c r="W21"/>
  <c r="Y21" s="1"/>
  <c r="W15" i="12"/>
  <c r="U13"/>
  <c r="W13" s="1"/>
  <c r="J15"/>
  <c r="H13"/>
  <c r="J19"/>
  <c r="H18"/>
  <c r="J18" s="1"/>
  <c r="U18"/>
  <c r="W18" s="1"/>
  <c r="W19"/>
  <c r="W16" i="57"/>
  <c r="Y16" s="1"/>
  <c r="Y18"/>
  <c r="B34" i="16" l="1"/>
  <c r="H34" s="1"/>
  <c r="J13" i="12"/>
</calcChain>
</file>

<file path=xl/comments1.xml><?xml version="1.0" encoding="utf-8"?>
<comments xmlns="http://schemas.openxmlformats.org/spreadsheetml/2006/main">
  <authors>
    <author>ppower</author>
    <author>Noemi Cambray</author>
  </authors>
  <commentList>
    <comment ref="G8" authorId="0">
      <text>
        <r>
          <rPr>
            <b/>
            <sz val="8"/>
            <color indexed="81"/>
            <rFont val="Tahoma"/>
            <family val="2"/>
          </rPr>
          <t>Start date for current period cannot be earlier than cumulative period</t>
        </r>
        <r>
          <rPr>
            <sz val="8"/>
            <color indexed="81"/>
            <rFont val="Tahoma"/>
            <family val="2"/>
          </rPr>
          <t xml:space="preserve">
</t>
        </r>
      </text>
    </comment>
    <comment ref="K8" authorId="0">
      <text>
        <r>
          <rPr>
            <b/>
            <sz val="8"/>
            <color indexed="81"/>
            <rFont val="Tahoma"/>
            <family val="2"/>
          </rPr>
          <t>Start date for current period cannot be earlier than cumulative period</t>
        </r>
        <r>
          <rPr>
            <sz val="8"/>
            <color indexed="81"/>
            <rFont val="Tahoma"/>
            <family val="2"/>
          </rPr>
          <t xml:space="preserve">
</t>
        </r>
      </text>
    </comment>
    <comment ref="I15" authorId="0">
      <text>
        <r>
          <rPr>
            <b/>
            <sz val="8"/>
            <color indexed="81"/>
            <rFont val="Tahoma"/>
            <family val="2"/>
          </rPr>
          <t>The Cumulative Period should be from the beginning of the grant up to the end of the current reporting period.</t>
        </r>
        <r>
          <rPr>
            <sz val="8"/>
            <color indexed="81"/>
            <rFont val="Tahoma"/>
            <family val="2"/>
          </rPr>
          <t xml:space="preserve">
</t>
        </r>
      </text>
    </comment>
    <comment ref="H16" authorId="0">
      <text>
        <r>
          <rPr>
            <b/>
            <sz val="8"/>
            <color indexed="81"/>
            <rFont val="Tahoma"/>
            <family val="2"/>
          </rPr>
          <t>Please be as specific as possible when describing the Reason for the Variances. Refer to the Guidance Document for additional information.</t>
        </r>
        <r>
          <rPr>
            <sz val="8"/>
            <color indexed="81"/>
            <rFont val="Tahoma"/>
            <family val="2"/>
          </rPr>
          <t xml:space="preserve">
</t>
        </r>
      </text>
    </comment>
    <comment ref="L16" authorId="0">
      <text>
        <r>
          <rPr>
            <b/>
            <sz val="8"/>
            <color indexed="81"/>
            <rFont val="Tahoma"/>
            <family val="2"/>
          </rPr>
          <t>Please be as specific as possible when describing the Reason for the Variances. Refer to the Guidance Document for additional information.</t>
        </r>
        <r>
          <rPr>
            <sz val="8"/>
            <color indexed="81"/>
            <rFont val="Tahoma"/>
            <family val="2"/>
          </rPr>
          <t xml:space="preserve">
</t>
        </r>
      </text>
    </comment>
    <comment ref="I20" authorId="1">
      <text>
        <r>
          <rPr>
            <b/>
            <sz val="9"/>
            <color indexed="81"/>
            <rFont val="Tahoma"/>
            <family val="2"/>
          </rPr>
          <t>Please ensure that the figure here agrees with the cumulative budget figure in the corresponding cell (H18) in section "PR_Total PR Cash Outflow_3A). If they do not the background color will be ORANGE.</t>
        </r>
        <r>
          <rPr>
            <sz val="9"/>
            <color indexed="81"/>
            <rFont val="Tahoma"/>
            <family val="2"/>
          </rPr>
          <t xml:space="preserve">
</t>
        </r>
      </text>
    </comment>
    <comment ref="J20" authorId="1">
      <text>
        <r>
          <rPr>
            <b/>
            <sz val="9"/>
            <color indexed="81"/>
            <rFont val="Tahoma"/>
            <family val="2"/>
          </rPr>
          <t>Please ensure that the figure here agrees with the cumulative cash outflow figure in the corresponding cell (I18) in section "PR_Total PR Cash Outflow_3A). If they do not the background color will be ORANGE.</t>
        </r>
        <r>
          <rPr>
            <sz val="9"/>
            <color indexed="81"/>
            <rFont val="Tahoma"/>
            <family val="2"/>
          </rPr>
          <t xml:space="preserve">
</t>
        </r>
      </text>
    </comment>
    <comment ref="I21" authorId="1">
      <text>
        <r>
          <rPr>
            <b/>
            <sz val="9"/>
            <color indexed="81"/>
            <rFont val="Tahoma"/>
            <family val="2"/>
          </rPr>
          <t>Please ensure that the figure here agrees with the cumulative budget figure in the corresponding cell (H17) in section "PR_Total PR Cash Outflow_3A). If they do not the background color will be ORANGE.</t>
        </r>
        <r>
          <rPr>
            <sz val="9"/>
            <color indexed="81"/>
            <rFont val="Tahoma"/>
            <family val="2"/>
          </rPr>
          <t xml:space="preserve">
</t>
        </r>
      </text>
    </comment>
    <comment ref="J21" authorId="1">
      <text>
        <r>
          <rPr>
            <b/>
            <sz val="9"/>
            <color indexed="81"/>
            <rFont val="Tahoma"/>
            <family val="2"/>
          </rPr>
          <t>Please ensure that the figure here agrees with the cumulative cash outflow figure in the corresponding cell (I17) in section "PR_Total PR Cash Outflow_3A). If they do not the background color will be ORANGE.</t>
        </r>
        <r>
          <rPr>
            <sz val="9"/>
            <color indexed="81"/>
            <rFont val="Tahoma"/>
            <family val="2"/>
          </rPr>
          <t xml:space="preserve">
</t>
        </r>
      </text>
    </comment>
    <comment ref="B29" authorId="0">
      <text>
        <r>
          <rPr>
            <b/>
            <sz val="8"/>
            <color indexed="81"/>
            <rFont val="Tahoma"/>
            <family val="2"/>
          </rPr>
          <t>This category should only be used as a last resort if there is a type of cost that absolutely cannot be allocated to another cost category</t>
        </r>
        <r>
          <rPr>
            <sz val="8"/>
            <color indexed="81"/>
            <rFont val="Tahoma"/>
            <family val="2"/>
          </rPr>
          <t xml:space="preserve">
</t>
        </r>
      </text>
    </comment>
    <comment ref="E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F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G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I30" authorId="0">
      <text>
        <r>
          <rPr>
            <b/>
            <sz val="8"/>
            <color indexed="81"/>
            <rFont val="Tahoma"/>
            <family val="2"/>
          </rPr>
          <t xml:space="preserve">Please ensure that:
-the figure here agrees with the figure in the corresponding cells in Tables B and C (in this tab). If they do not the background color will be RED; and
-the figure also agrees with the cumulative budget figure in the corresponding cell (H11) in section "PR_Total PR Cash Outflow_3A). If they do not the background color will be ORANGE. </t>
        </r>
        <r>
          <rPr>
            <sz val="8"/>
            <color indexed="81"/>
            <rFont val="Tahoma"/>
            <family val="2"/>
          </rPr>
          <t xml:space="preserve">
</t>
        </r>
      </text>
    </comment>
    <comment ref="J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K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I33" authorId="0">
      <text>
        <r>
          <rPr>
            <b/>
            <sz val="8"/>
            <color indexed="81"/>
            <rFont val="Tahoma"/>
            <family val="2"/>
          </rPr>
          <t xml:space="preserve">The Cumulative Period should be from the beginning of the grant up to the end of the current reporting period.
</t>
        </r>
        <r>
          <rPr>
            <sz val="8"/>
            <color indexed="81"/>
            <rFont val="Tahoma"/>
            <family val="2"/>
          </rPr>
          <t xml:space="preserve">
</t>
        </r>
      </text>
    </comment>
    <comment ref="A34" authorId="0">
      <text>
        <r>
          <rPr>
            <b/>
            <sz val="8"/>
            <color indexed="81"/>
            <rFont val="Tahoma"/>
            <family val="2"/>
          </rPr>
          <t>Insert Number</t>
        </r>
        <r>
          <rPr>
            <sz val="8"/>
            <color indexed="81"/>
            <rFont val="Tahoma"/>
            <family val="2"/>
          </rPr>
          <t xml:space="preserve">
</t>
        </r>
      </text>
    </comment>
    <comment ref="C34" authorId="0">
      <text>
        <r>
          <rPr>
            <sz val="8"/>
            <color indexed="81"/>
            <rFont val="Tahoma"/>
            <family val="2"/>
          </rPr>
          <t>Please remember to include the full name of the objective. If an objective has more than 1 SDA, repeat the objective name on each row for the relevant SDA</t>
        </r>
      </text>
    </comment>
    <comment ref="H34"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L34"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E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F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G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I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J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K40"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I45" authorId="0">
      <text>
        <r>
          <rPr>
            <b/>
            <sz val="8"/>
            <color indexed="81"/>
            <rFont val="Tahoma"/>
            <family val="2"/>
          </rPr>
          <t xml:space="preserve">The Cumulative Period should be from the beginning of the grant up to the end of the current reporting period.
</t>
        </r>
        <r>
          <rPr>
            <sz val="8"/>
            <color indexed="81"/>
            <rFont val="Tahoma"/>
            <family val="2"/>
          </rPr>
          <t xml:space="preserve">
</t>
        </r>
      </text>
    </comment>
    <comment ref="A46" authorId="0">
      <text>
        <r>
          <rPr>
            <b/>
            <sz val="8"/>
            <color indexed="81"/>
            <rFont val="Tahoma"/>
            <family val="2"/>
          </rPr>
          <t>Insert Number</t>
        </r>
        <r>
          <rPr>
            <sz val="8"/>
            <color indexed="81"/>
            <rFont val="Tahoma"/>
            <family val="2"/>
          </rPr>
          <t xml:space="preserve">
</t>
        </r>
      </text>
    </comment>
    <comment ref="D46" authorId="0">
      <text>
        <r>
          <rPr>
            <sz val="10"/>
            <color indexed="10"/>
            <rFont val="Tahoma"/>
            <family val="2"/>
          </rPr>
          <t>If a Faith Based Organization is also a NGO or CBO. It should be selected as an FBO!</t>
        </r>
        <r>
          <rPr>
            <sz val="8"/>
            <color indexed="81"/>
            <rFont val="Tahoma"/>
            <family val="2"/>
          </rPr>
          <t xml:space="preserve">
</t>
        </r>
      </text>
    </comment>
    <comment ref="H46"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L46"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E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F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G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I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J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K52"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E68" authorId="0">
      <text>
        <r>
          <rPr>
            <b/>
            <sz val="8"/>
            <color indexed="81"/>
            <rFont val="Tahoma"/>
            <family val="2"/>
          </rPr>
          <t xml:space="preserve">The Cumulative Period should be from the beginning of the grant up to the end of the current reporting period.
</t>
        </r>
        <r>
          <rPr>
            <sz val="8"/>
            <color indexed="81"/>
            <rFont val="Tahoma"/>
            <family val="2"/>
          </rPr>
          <t xml:space="preserve">
</t>
        </r>
      </text>
    </comment>
    <comment ref="A69" authorId="0">
      <text>
        <r>
          <rPr>
            <b/>
            <sz val="8"/>
            <color indexed="81"/>
            <rFont val="Tahoma"/>
            <family val="2"/>
          </rPr>
          <t>Insert Number</t>
        </r>
        <r>
          <rPr>
            <sz val="8"/>
            <color indexed="81"/>
            <rFont val="Tahoma"/>
            <family val="2"/>
          </rPr>
          <t xml:space="preserve">
</t>
        </r>
      </text>
    </comment>
    <comment ref="C69" authorId="0">
      <text>
        <r>
          <rPr>
            <sz val="10"/>
            <color indexed="10"/>
            <rFont val="Tahoma"/>
            <family val="2"/>
          </rPr>
          <t>If a Faith Based Organization is also a NGO or CBO. It should be selected as an FBO!</t>
        </r>
        <r>
          <rPr>
            <sz val="8"/>
            <color indexed="81"/>
            <rFont val="Tahoma"/>
            <family val="2"/>
          </rPr>
          <t xml:space="preserve">
</t>
        </r>
      </text>
    </comment>
    <comment ref="E69"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D75"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List>
</comments>
</file>

<file path=xl/sharedStrings.xml><?xml version="1.0" encoding="utf-8"?>
<sst xmlns="http://schemas.openxmlformats.org/spreadsheetml/2006/main" count="2543" uniqueCount="1184">
  <si>
    <t>No changes in planned activty . All the activities carried out as per the approved  work plan .</t>
  </si>
  <si>
    <t xml:space="preserve">Royal Government of Bhutan </t>
  </si>
  <si>
    <t>FRNYUS33</t>
  </si>
  <si>
    <t>33 Liberty Street , NY 1004 ,USA</t>
  </si>
  <si>
    <t>Federal Reserve Bank of New York</t>
  </si>
  <si>
    <r>
      <t>!</t>
    </r>
    <r>
      <rPr>
        <sz val="12"/>
        <rFont val="Arial"/>
        <family val="2"/>
      </rPr>
      <t xml:space="preserve"> Please list all issues raised in the last Management Letter from the Global Fund or outstanding from previous Management Letters, and comment on the progress. Please include the date of the management letter and the item number. Reference: management letter dated 10 February 2011</t>
    </r>
  </si>
  <si>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</si>
  <si>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</si>
  <si>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</si>
  <si>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</si>
  <si>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</si>
  <si>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</si>
  <si>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</si>
  <si>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</si>
  <si>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</si>
  <si>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</si>
  <si>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</si>
  <si>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</si>
  <si>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</si>
  <si>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</si>
  <si>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</si>
  <si>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Section 3A: Total PR Cash Outflow</t>
  </si>
  <si>
    <t>Disbursement Request - Period Covered:</t>
  </si>
  <si>
    <t>Disbursement Request - Number:</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</si>
  <si>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</si>
  <si>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</si>
  <si>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</si>
  <si>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</si>
  <si>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</si>
  <si>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</si>
  <si>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</si>
  <si>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</si>
  <si>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TB/HIV collaborative activities: Prevention of TB disease in PLWHA</t>
  </si>
  <si>
    <t>Census</t>
  </si>
  <si>
    <t>TB/HIV collaborative activities: Prevention of HIV in TB patients</t>
  </si>
  <si>
    <t>Health service statistics</t>
  </si>
  <si>
    <t>TB/HIV collaborative activities: Prevention of opportunistic infections in PLWHA with TB</t>
  </si>
  <si>
    <t>Patient register</t>
  </si>
  <si>
    <t xml:space="preserve">TB/HIV collaborative activities: HIV care and support for HIV-positive TB patients </t>
  </si>
  <si>
    <t xml:space="preserve">Clinical cohort follow-up studies </t>
  </si>
  <si>
    <t>TB/HIV collaborative activities: Provision of antiretroviral treatment for TB patients during TB treatment</t>
  </si>
  <si>
    <t>Community services assessment</t>
  </si>
  <si>
    <t>Supportive environment: Policy development including workplace policy</t>
  </si>
  <si>
    <t>Records: laboratory, patient (e.g. treatment cards), training, certification, other (to be specified)</t>
  </si>
  <si>
    <t xml:space="preserve">Supportive environment: Strengthening of civil society and institutional capacity building </t>
  </si>
  <si>
    <t>Operational research</t>
  </si>
  <si>
    <t>Supportive environment: Stigma reduction in all settings</t>
  </si>
  <si>
    <t>HSS: Service delivery</t>
  </si>
  <si>
    <t>HSS: PAL (Practical Approach to Lung Health)</t>
  </si>
  <si>
    <t>HSS: Human resources</t>
  </si>
  <si>
    <t>HSS: Community Systems Strengthening</t>
  </si>
  <si>
    <t>HSS: Information system &amp; Operational research</t>
  </si>
  <si>
    <t>HSS: Infrastructure</t>
  </si>
  <si>
    <t>HSS: Procurement and Supply management</t>
  </si>
  <si>
    <t>please select…</t>
  </si>
  <si>
    <t>Improving diagnosis</t>
  </si>
  <si>
    <t>TB prevalence rate</t>
  </si>
  <si>
    <t>Case detection</t>
  </si>
  <si>
    <t>Standardized treatment, patient support and patient charter</t>
  </si>
  <si>
    <t>TB incidence rate</t>
  </si>
  <si>
    <t>Treatment success rate</t>
  </si>
  <si>
    <r>
      <t xml:space="preserve">List of </t>
    </r>
    <r>
      <rPr>
        <b/>
        <u/>
        <sz val="10"/>
        <color indexed="8"/>
        <rFont val="Calibri"/>
        <family val="2"/>
      </rPr>
      <t>Latest Approved</t>
    </r>
    <r>
      <rPr>
        <b/>
        <sz val="10"/>
        <color indexed="8"/>
        <rFont val="Calibri"/>
        <family val="2"/>
      </rPr>
      <t xml:space="preserve"> Documents by functional area</t>
    </r>
  </si>
  <si>
    <t xml:space="preserve">To be made available to the LFA by the PR  </t>
  </si>
  <si>
    <t>To be submitted by the LFA to the Secretariat</t>
  </si>
  <si>
    <t>Performance Framework</t>
  </si>
  <si>
    <t>x</t>
  </si>
  <si>
    <t>M&amp;E Plan</t>
  </si>
  <si>
    <t>Survey results</t>
  </si>
  <si>
    <t>For Impact/Outcome indicators</t>
  </si>
  <si>
    <t>If newly available during the reporting period.</t>
  </si>
  <si>
    <t>Other M&amp;E assessments done by partners to assess data quality and M&amp;E system issues.</t>
  </si>
  <si>
    <t>Procurement</t>
  </si>
  <si>
    <t>Consumption reports for pharmaceuticals and health products</t>
  </si>
  <si>
    <t>Supplier invoices</t>
  </si>
  <si>
    <t>PSM Plan</t>
  </si>
  <si>
    <t>Stock level reports</t>
  </si>
  <si>
    <t>Finance</t>
  </si>
  <si>
    <t>Approved budgets</t>
  </si>
  <si>
    <t>For the periods covered by Progress Update and Disbursement Request, including the buffer period.</t>
  </si>
  <si>
    <t>Statement of sources and uses of funds (Cash flow statement)</t>
  </si>
  <si>
    <t>Cash books</t>
  </si>
  <si>
    <t xml:space="preserve">General Ledger </t>
  </si>
  <si>
    <t xml:space="preserve">Cash forecasts </t>
  </si>
  <si>
    <t>Bank statements</t>
  </si>
  <si>
    <t>Bank Reconciliations</t>
  </si>
  <si>
    <t>Annual PR Audit Report, Financial Statements, Management Letters and Responses (if Due)</t>
  </si>
  <si>
    <t>Annual SR Audit Report, Financial Statements, Management Letters and Responses (if Due)</t>
  </si>
  <si>
    <t>General Management</t>
  </si>
  <si>
    <t>Grant Agreement (including Annex A and subsequent implementation letters)</t>
  </si>
  <si>
    <t>Workplan</t>
  </si>
  <si>
    <t>This checklist is included for information and not for completion.</t>
  </si>
  <si>
    <t>Procurement and supply management</t>
  </si>
  <si>
    <t>TB mortality rate</t>
  </si>
  <si>
    <t>Smear conversion rate</t>
  </si>
  <si>
    <t>M&amp;E</t>
  </si>
  <si>
    <t>TB/HIV</t>
  </si>
  <si>
    <t>MDR-TB</t>
  </si>
  <si>
    <t xml:space="preserve">High-risk groups </t>
  </si>
  <si>
    <t>HSS (beyond TB)</t>
  </si>
  <si>
    <t>PAL (Practical Approach to Lung Health)</t>
  </si>
  <si>
    <t>PR-reported amounts</t>
  </si>
  <si>
    <t>LFA-verified amounts</t>
  </si>
  <si>
    <t>3.  Cash disbursed to third parties by the Global Fund on behalf of the PR during the period covered by this progress update:</t>
  </si>
  <si>
    <t>Forecasted amount  (reported by PR):</t>
  </si>
  <si>
    <t>LFA-adjusted forecasted amount:</t>
  </si>
  <si>
    <t>PR-requested amount</t>
  </si>
  <si>
    <t>LFA-recommended amount</t>
  </si>
  <si>
    <t>PPM / ISTC (Public-Public, Public-Private Mix (PPM) approaches and International standards for TB care)</t>
  </si>
  <si>
    <t xml:space="preserve">ACSM (Advocacy, communication and social mobilization) </t>
  </si>
  <si>
    <t>Community TB care</t>
  </si>
  <si>
    <t>Programme-based operational research</t>
  </si>
  <si>
    <t>R&amp;R TB system, quarterly report</t>
  </si>
  <si>
    <t xml:space="preserve">R&amp;R TB system, yearly management report </t>
  </si>
  <si>
    <t>Other Surveillance reports, specify</t>
  </si>
  <si>
    <t xml:space="preserve">Death rates associated with Malaria: all-cause under-5 mortality rate in highly endemic areas </t>
  </si>
  <si>
    <t>% of U5 children (and other target groups) with malaria/fever receiving appropriate treatment within 24 hours (community/health facility)</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</si>
  <si>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</si>
  <si>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</si>
  <si>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</si>
  <si>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</si>
  <si>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</si>
  <si>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</si>
  <si>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</si>
  <si>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LFA-Verified Budget for Reporting Period</t>
  </si>
  <si>
    <t>LFA-Verified Actual for Reporting Period</t>
  </si>
  <si>
    <t>LFA-Verified Actual through period of Progress Update</t>
  </si>
  <si>
    <t>PR Audit Report</t>
  </si>
  <si>
    <t>Global Fund Management Actions</t>
  </si>
  <si>
    <t>PR Comments on Progress of Implementation</t>
  </si>
  <si>
    <t>2. Pharmaceuticals &amp; health product expenditures vs. budget</t>
  </si>
  <si>
    <t>Budget for Reporting Period*</t>
  </si>
  <si>
    <t>LFA-Verified Cumulative Budget through period of Progress Update</t>
  </si>
  <si>
    <t>Analysis
(this should not be a "Copy and Paste" of the comments provided by the PR)</t>
  </si>
  <si>
    <t>Baseline 
(if applicable)</t>
  </si>
  <si>
    <t>Data Source of Results</t>
  </si>
  <si>
    <t>Disbursement Request Period</t>
  </si>
  <si>
    <t>Summary</t>
  </si>
  <si>
    <t>Beneficiary Name</t>
  </si>
  <si>
    <t>Payee 1:</t>
  </si>
  <si>
    <t>Payee 2:</t>
  </si>
  <si>
    <t>Payee 3:</t>
  </si>
  <si>
    <t>Payee 4:</t>
  </si>
  <si>
    <t>Beneficiary Name:</t>
  </si>
  <si>
    <t>Amount in Words:</t>
  </si>
  <si>
    <t>Bank Account Number:</t>
  </si>
  <si>
    <t>Bank Code (Other):</t>
  </si>
  <si>
    <t>Routing Instructions:</t>
  </si>
  <si>
    <t>PR SECTION</t>
  </si>
  <si>
    <t>LFA SECTION</t>
  </si>
  <si>
    <t>LFA Review of PR Progress on Global Fund Management Actions</t>
  </si>
  <si>
    <t>Functional Areas</t>
  </si>
  <si>
    <t>Section 6:  LFA EVALUATION AND COMMENTS ON OVERALL PERFORMANCE</t>
  </si>
  <si>
    <t>Section 7:  Disbursement Recommendation</t>
  </si>
  <si>
    <t>Objective
No.</t>
  </si>
  <si>
    <t>Year of Target</t>
  </si>
  <si>
    <t>Intended Target</t>
  </si>
  <si>
    <t>Actual Result</t>
  </si>
  <si>
    <t>Intended Target
to date</t>
  </si>
  <si>
    <t>Actual Result
to date</t>
  </si>
  <si>
    <r>
      <t xml:space="preserve">Intended Target
 </t>
    </r>
    <r>
      <rPr>
        <sz val="11"/>
        <rFont val="Arial"/>
        <family val="2"/>
      </rPr>
      <t>(from Attachment)</t>
    </r>
  </si>
  <si>
    <r>
      <t xml:space="preserve">Actual Result
</t>
    </r>
    <r>
      <rPr>
        <sz val="11"/>
        <rFont val="Arial"/>
        <family val="2"/>
      </rPr>
      <t>(as reported by PR)</t>
    </r>
  </si>
  <si>
    <r>
      <t xml:space="preserve">Actual Result
to date
</t>
    </r>
    <r>
      <rPr>
        <sz val="11"/>
        <rFont val="Arial"/>
        <family val="2"/>
      </rPr>
      <t>(as reported by PR)</t>
    </r>
  </si>
  <si>
    <t>Section 1:  Programmatic Progress</t>
  </si>
  <si>
    <t>Section 1:   LFA Review and Verification of the Principal Recipient's Programmatic Progress</t>
  </si>
  <si>
    <t>Tied To</t>
  </si>
  <si>
    <t>LFA analysis on issues related to the procurement and supply management of pharmaceuticals and health products</t>
  </si>
  <si>
    <t>4.  Interest received on bank account</t>
  </si>
  <si>
    <t>5.  Revenue from income-generating activities (if applicable)</t>
  </si>
  <si>
    <t>1. Total PR cash outflow vs. budget</t>
  </si>
  <si>
    <t>A.  LFA-VERIFIED CASH RECONCILIATION FOR PERIOD COVERED BY PROGRESS UPDATE</t>
  </si>
  <si>
    <t>1.  Cash amount requested from the Global Fund (from line 14 – “PR's Disbursement Request” in the tab “PR_Disbursement Request_4B”), in grant currency</t>
  </si>
  <si>
    <t>Cumulative Budget through period of Progress Update*</t>
  </si>
  <si>
    <t>*TOTAL amount for these columns should reconcile with relevant amounts under "1b Disbursed to Sub Recipients" in Section 3A"</t>
  </si>
  <si>
    <t>** Where the number of SRs is significant (over 10), SRs with small budgets (less than $50,000 cumulative each) do not need to be reported separately and the figures can be aggregated in a group called "Other Minor SRs"</t>
  </si>
  <si>
    <t>Comments on the explanations for variances provided by the PR (LFA can also provide comment directly on the EFR template completed by the PR)</t>
  </si>
  <si>
    <r>
      <t xml:space="preserve">Comments on the process, assumptions and supporting documentation used by the PR to complete the template. </t>
    </r>
    <r>
      <rPr>
        <i/>
        <sz val="11"/>
        <rFont val="Arial"/>
        <family val="2"/>
      </rPr>
      <t>(If space is insufficient, please provide comments in an addendum)</t>
    </r>
  </si>
  <si>
    <t>The total budget figure is accurate based on existing approved budgets.</t>
  </si>
  <si>
    <t>The reporting dates are correct for both current period and cumulative period.</t>
  </si>
  <si>
    <t>The total figures in Tables A, B and C are equal.</t>
  </si>
  <si>
    <t>The template has been fully completed.</t>
  </si>
  <si>
    <t>Comments if any:</t>
  </si>
  <si>
    <t>The following information provided by the Principal Recipient in its EFR has been checked.</t>
  </si>
  <si>
    <t>LFA review of Enhanced Financial Reporting template</t>
  </si>
  <si>
    <t xml:space="preserve"> </t>
  </si>
  <si>
    <t>Clinical cohort follow-up studies</t>
  </si>
  <si>
    <t>Total</t>
  </si>
  <si>
    <t>NB: This page should be completed if (1) this is a split disbursement (i.e. disbursement going to more than one recipient) or (2) if there have been changes to the bank details since the previous disbursement.</t>
  </si>
  <si>
    <t>Amount in grant currency</t>
  </si>
  <si>
    <t>Payee 1 - Principal Recipient:</t>
  </si>
  <si>
    <t>Amount in currency in which beneficiary
should receive the funds:</t>
  </si>
  <si>
    <r>
      <t xml:space="preserve">Exchange rate, date and source
</t>
    </r>
    <r>
      <rPr>
        <sz val="10"/>
        <rFont val="Arial"/>
        <family val="2"/>
      </rPr>
      <t>(Complete only if currency in which beneficiary should receive the funds is different from the grant currency)</t>
    </r>
  </si>
  <si>
    <r>
      <t xml:space="preserve">Equivalent in grant currency 
</t>
    </r>
    <r>
      <rPr>
        <sz val="10"/>
        <rFont val="Arial"/>
        <family val="2"/>
      </rPr>
      <t>(Calculated based on the indicated exchange rate)</t>
    </r>
  </si>
  <si>
    <r>
      <t xml:space="preserve">Currency
</t>
    </r>
    <r>
      <rPr>
        <sz val="10"/>
        <rFont val="Arial"/>
        <family val="2"/>
      </rPr>
      <t>in which beneficiary should receive the funds</t>
    </r>
  </si>
  <si>
    <t>Bank Address</t>
  </si>
  <si>
    <t>Monitoring &amp; Evaluation</t>
  </si>
  <si>
    <t>Living Support to Clients/Target Populations</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</si>
  <si>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xml:space="preserve">: Inserting Rows without copying a row as described above will cause the formula in the variance column to become invalid and will mean the overall information will be inaccurate.
</t>
    </r>
  </si>
  <si>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</si>
  <si>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</si>
  <si>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WHO Global report/estimates</t>
  </si>
  <si>
    <t>Other (type as appropriate)</t>
  </si>
  <si>
    <t>E- DISBURSEMENTS BREAKDOWN BY IMPLEMENTING ENTITY</t>
  </si>
  <si>
    <t>Cumulative Disbursements</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</si>
  <si>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</si>
  <si>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Cumulative Period</t>
  </si>
  <si>
    <t>A.  PR COMMENTS ON THE FULFILLMENT OF CONDITIONS PRECEDENT AND/OR SPECIAL CONDITIONS UNDER THE GRANT AGREEMENT</t>
  </si>
  <si>
    <t>B.  PR REVIEW OF PROGRESS ON IMPLEMENTATION OF OUTSTANDING MANAGEMENT ACTIONS FROM PREVIOUS DISBURSEMENTS</t>
  </si>
  <si>
    <t>C.  PR COMMENTS ON ANNUAL GRANT REPORTING REQUIREMENTS</t>
  </si>
  <si>
    <t>SECTION 3B: HIV/AIDS FINANCIAL REPORTING FORM</t>
  </si>
  <si>
    <t>Section 4:  Procurement and Supply Management</t>
  </si>
  <si>
    <t>Section 5: Cash Reconciliation and Disbursement Request</t>
  </si>
  <si>
    <t>1.  Period beginning date:</t>
  </si>
  <si>
    <t>4.  Cash "in transit" disbursed to the PR:</t>
  </si>
  <si>
    <t>5. Cash "in transit" disbursed to third parties by the Global Fund on behalf of the PR</t>
  </si>
  <si>
    <t>6.  PR's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</si>
  <si>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</si>
  <si>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</si>
  <si>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Section 6:  Overall Performance</t>
  </si>
  <si>
    <t>Section 7: Cash Request and Authorization</t>
  </si>
  <si>
    <t>7C:  Bank Account Details</t>
  </si>
  <si>
    <t>A.  PR &amp; LFA COMMENTS ON THE FULFILLMENT OF OUTSTANDING CONDITIONS PRECEDENT AND/OR SPECIAL CONDITIONS UNDER THE GRANT AGREEMENT</t>
  </si>
  <si>
    <t>B.  PR &amp; LFA REVIEW OF PROGRESS ON IMPLEMENTATION OF OUTSTANDING MANAGEMENT ACTIONS FROM PREVIOUS DISBURSEMENTS</t>
  </si>
  <si>
    <t>C.  PR &amp; LFA COMMENTS ON ANNUAL GRANT REPORTING REQUIREMENTS</t>
  </si>
  <si>
    <t>Section 3B: ENHANCED FINANCIAL REPORTING PERIOD</t>
  </si>
  <si>
    <t>1.  CHECKLIST</t>
  </si>
  <si>
    <t>2.  COMPLETION OF THE TEMPLATE</t>
  </si>
  <si>
    <t>3. VARIANCE ANALYSIS</t>
  </si>
  <si>
    <t>1b.  Value of Pharmaceuticals and Health Products in the PQR (6 categories only)</t>
  </si>
  <si>
    <r>
      <t xml:space="preserve">2. Based on best information available to the LFA, are there any risks of drug stockout </t>
    </r>
    <r>
      <rPr>
        <b/>
        <u/>
        <sz val="11"/>
        <rFont val="Arial"/>
        <family val="2"/>
      </rPr>
      <t>at the central level</t>
    </r>
    <r>
      <rPr>
        <b/>
        <sz val="11"/>
        <rFont val="Arial"/>
        <family val="2"/>
      </rPr>
      <t xml:space="preserve"> in the next period of implementation?  (If yes, please explain in comments box)
! </t>
    </r>
    <r>
      <rPr>
        <sz val="11"/>
        <rFont val="Arial"/>
        <family val="2"/>
      </rPr>
      <t>This section should be completed by the LFA based on best information on stock levels at the central level available to the LFA and should not require dedicated visits for on-site checks of stocks.</t>
    </r>
    <r>
      <rPr>
        <b/>
        <sz val="11"/>
        <rFont val="Arial"/>
        <family val="2"/>
      </rPr>
      <t xml:space="preserve">
</t>
    </r>
  </si>
  <si>
    <t>3.  PR comments on issues related to the procurement and supply management of pharmaceuticals and health products</t>
  </si>
  <si>
    <t>Section 4: LFA-verified Procurement and Supply Management Information</t>
  </si>
  <si>
    <t xml:space="preserve">LFA-specific section:  LFA Findings &amp; Recommendations  </t>
  </si>
  <si>
    <t>4. Cash "in transit" disbursed to the PR:</t>
  </si>
  <si>
    <t>5. Cash "in transit" disbursed to third parties by the Global Fund on behalf of the PR :</t>
  </si>
  <si>
    <t>6. Disbursement Request to the Global Fund for the period immediately following the period covered by the Progress Update, plus additional period (cash buffer):</t>
  </si>
  <si>
    <t xml:space="preserve">7C:  LFA-verified Bank Account Details </t>
  </si>
  <si>
    <r>
      <t xml:space="preserve">NB: Please ensure that section 7C Bank Details on the following page is completed, if (1) this is a split disbursement (i.e. disbursement going to more than one recipient) or (2) if there have been </t>
    </r>
    <r>
      <rPr>
        <b/>
        <u/>
        <sz val="12"/>
        <color indexed="12"/>
        <rFont val="Arial"/>
        <family val="2"/>
      </rPr>
      <t>changes</t>
    </r>
    <r>
      <rPr>
        <b/>
        <sz val="12"/>
        <color indexed="12"/>
        <rFont val="Arial"/>
        <family val="2"/>
      </rPr>
      <t xml:space="preserve"> to the bank details since the previous disbursement.</t>
    </r>
  </si>
  <si>
    <t>NB: Please ensure that section 7C Bank Details on the following page is completed  if (1) this is a split disbursement (i.e. disbursement going to more than one recipient) or (2) if there have been changes to the bank details since the previous disbursement.</t>
  </si>
  <si>
    <t>1.  Cash Balance: Beginning of period covered by Progress Update (line 10 from Cash Reconciliation section of the period covered  by the previous Progress Update):</t>
  </si>
  <si>
    <t>1.  Cash Balance: Beginning of period covered by Progress Update (line 10 from Cash Reconciliation section of the period covered by the previous Progress Update):</t>
  </si>
  <si>
    <t>7.  Total PR cash outflow during period covered by Progress Update (value entered in Section 3A "Total cash outflow"):</t>
  </si>
  <si>
    <t>B.  Programmatic Indicators</t>
  </si>
  <si>
    <t xml:space="preserve">Targets cumulative?
</t>
  </si>
  <si>
    <t>B. Programmatic Indicators</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</si>
  <si>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</si>
  <si>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Value of  products received during reporting period</t>
  </si>
  <si>
    <t>Cumulative value of  products received since Jan 2011</t>
  </si>
  <si>
    <t>Cumulative value of products verified as correct by the LFA in the PQR since Jan 2011</t>
  </si>
  <si>
    <t>Note for LFAs: The information below is displayed as entered by the PR.  If any of this information is incorrect, please correct them by overwriting with correct information.</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</si>
  <si>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</si>
  <si>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3. Cash Balance: End of period covered by Progress Update (number 10 from PR Cash Reconciliation sheet):</t>
  </si>
  <si>
    <t>3. Cash Balance: End of period covered by Progress Update (number 10 from LFA or PR Cash Reconciliation sheet):</t>
  </si>
  <si>
    <t>A1</t>
  </si>
  <si>
    <t>A2</t>
  </si>
  <si>
    <t>B1</t>
  </si>
  <si>
    <t xml:space="preserve">B2 </t>
  </si>
  <si>
    <t>C</t>
  </si>
  <si>
    <t>Exceeding expectations</t>
  </si>
  <si>
    <t>Meeting expectations</t>
  </si>
  <si>
    <t>Performance rating</t>
  </si>
  <si>
    <t>Range for cumulative disbursement amount (after the currently recommended disbursement)</t>
  </si>
  <si>
    <t>Above 95% of cumulative budget through the next reporting period</t>
  </si>
  <si>
    <t>Between 85-105% of cumulative budget through the next reporting period</t>
  </si>
  <si>
    <t>Between 55-95% of cumulative budget through the next reporting period</t>
  </si>
  <si>
    <t>Between 25-65% of cumulative budget through the next reporting period</t>
  </si>
  <si>
    <t>Below 35% of cumulative budget through the next reporting period</t>
  </si>
  <si>
    <t>Is the recommended disbursement within the range?</t>
  </si>
  <si>
    <t>Inadequate but potential demonstrated</t>
  </si>
  <si>
    <t>Adequate</t>
  </si>
  <si>
    <t>Unacceptable</t>
  </si>
  <si>
    <t xml:space="preserve">Select </t>
  </si>
  <si>
    <r>
      <t xml:space="preserve">  (cash "buffer") beginning date</t>
    </r>
    <r>
      <rPr>
        <sz val="11"/>
        <rFont val="Arial"/>
        <family val="2"/>
      </rPr>
      <t>:</t>
    </r>
  </si>
  <si>
    <t>(cash "buffer") beginning date</t>
  </si>
  <si>
    <t>(2) When the additional (cash "buffer" ) period is 1 or 2months, the approved budget and forecasted amounts should be calculated as prorated values for the period following the regular buffer period.</t>
  </si>
  <si>
    <r>
      <t>cash "buffer" agreed with FPM</t>
    </r>
    <r>
      <rPr>
        <b/>
        <sz val="11"/>
        <rFont val="Arial"/>
        <family val="2"/>
      </rPr>
      <t xml:space="preserve"> (2)</t>
    </r>
  </si>
  <si>
    <r>
      <t>Cumulative disbursed amount to date</t>
    </r>
    <r>
      <rPr>
        <b/>
        <sz val="11"/>
        <color indexed="8"/>
        <rFont val="Arial"/>
        <family val="2"/>
      </rPr>
      <t xml:space="preserve"> (*)</t>
    </r>
  </si>
  <si>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</si>
  <si>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A. DISBURSEMENT RECOMMENDATION</t>
  </si>
  <si>
    <t>B.  VERIFICATIONS</t>
  </si>
  <si>
    <t>Current budget forecasts of the Principal Recipient for the next disbursement period plus buffer period have been reviewed for reasonableness</t>
  </si>
  <si>
    <t>2a. Cash buffer period (by default)</t>
  </si>
  <si>
    <t>Cumulative budget through the next period of implementation (including the buffer)</t>
  </si>
  <si>
    <t>Cumulative disbursed after recommended disbursement (including the buffer)</t>
  </si>
  <si>
    <t>Indicative disbursement ranges by performance rating (included as a reference)</t>
  </si>
  <si>
    <t>3.  Rationale for the LFA's disbursement recommendation (if resulting in cumulative disbursement outside the indicative ranges):</t>
  </si>
  <si>
    <t>(2) When the additional (cash "buffer" ) period is 1 or 2 months, the approved budget and forecasted amounts should be calculated as prorated values for the period following the regular buffer period.</t>
  </si>
  <si>
    <t>LFA_Findings &amp; Recommendations</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</si>
  <si>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</si>
  <si>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</si>
  <si>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t>M&amp;E Systems Strengthening Assessment</t>
  </si>
  <si>
    <r>
      <t xml:space="preserve">2b.  Additional "buffer" (discretionary, select only if there is a prior agreement with the FPM) </t>
    </r>
    <r>
      <rPr>
        <b/>
        <sz val="11"/>
        <rFont val="Arial"/>
        <family val="2"/>
      </rPr>
      <t>(1)</t>
    </r>
  </si>
  <si>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</si>
  <si>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Indicator rating</t>
  </si>
  <si>
    <t>Any major management issues resulting in downgrade?</t>
  </si>
  <si>
    <t>Overall Grant Rating</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</si>
  <si>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</si>
  <si>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t>
    </r>
    <r>
      <rPr>
        <sz val="11"/>
        <color indexed="53"/>
        <rFont val="Arial"/>
        <family val="2"/>
      </rPr>
      <t xml:space="preserve">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</si>
  <si>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Overall Rating</t>
  </si>
  <si>
    <t>D.  Summary of the LFA's approach used for verification of financial, programmatic and procurement data and Quality Assurance undertaken by the LFA</t>
  </si>
  <si>
    <r>
      <t xml:space="preserve">PR Bank details verified/corrected by LFA
</t>
    </r>
    <r>
      <rPr>
        <b/>
        <sz val="11"/>
        <color indexed="12"/>
        <rFont val="Arial"/>
        <family val="2"/>
      </rPr>
      <t/>
    </r>
  </si>
  <si>
    <t>% range</t>
  </si>
  <si>
    <t>TB Detection</t>
  </si>
  <si>
    <t>TB Treatment</t>
  </si>
  <si>
    <t>Prevention: Behavioral Change Communication - Mass Media</t>
  </si>
  <si>
    <t>Prevention: Behavioral Change Communication - Community Outreach</t>
  </si>
  <si>
    <t>Ministry Health (MoH)</t>
  </si>
  <si>
    <t>Other Multilateral Organization</t>
  </si>
  <si>
    <t>Health System Strengthening (HSS)</t>
  </si>
  <si>
    <t>Prevention: Insecticite-treated nets (ITNs)</t>
  </si>
  <si>
    <t>Prevention: Malaria in pregnancy</t>
  </si>
  <si>
    <t>Prevention: Other - specify</t>
  </si>
  <si>
    <t>Treatment: Prompt, effective antimalatial treatment</t>
  </si>
  <si>
    <t>Health System Strengthening</t>
  </si>
  <si>
    <t>Standardized treatment, pation support and patient charter</t>
  </si>
  <si>
    <t>Procurement and Supply management</t>
  </si>
  <si>
    <t>High-risk groups</t>
  </si>
  <si>
    <t>8.  Exchange Rate (used to translate local currency into grant currency)</t>
  </si>
  <si>
    <t xml:space="preserve">Name of local currency, date and source of the exchange rate, and other comments (if appropriate) </t>
  </si>
  <si>
    <t>Name of local currency and LFA comments on the exchange rates used by the PR</t>
  </si>
  <si>
    <t>Current Period</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</si>
  <si>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</si>
  <si>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</si>
  <si>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LFA Comments on the PR's overall verification efforts of SR expenditure and the explanations of variance provided</t>
  </si>
  <si>
    <r>
      <rPr>
        <b/>
        <sz val="12"/>
        <rFont val="Arial"/>
        <family val="2"/>
      </rPr>
      <t>*</t>
    </r>
    <r>
      <rPr>
        <b/>
        <sz val="11"/>
        <rFont val="Arial"/>
        <family val="2"/>
      </rPr>
      <t xml:space="preserve"> Indicator No.</t>
    </r>
  </si>
  <si>
    <r>
      <t>TO BE COMPLETED ONLY</t>
    </r>
    <r>
      <rPr>
        <b/>
        <i/>
        <u/>
        <sz val="10"/>
        <rFont val="Arial"/>
        <family val="2"/>
      </rPr>
      <t xml:space="preserve"> ONCE</t>
    </r>
    <r>
      <rPr>
        <b/>
        <i/>
        <sz val="10"/>
        <rFont val="Arial"/>
        <family val="2"/>
      </rPr>
      <t xml:space="preserve"> A YEAR EXCEPT AT MONTH 18 FOR PURPOSES OF PHASE 2 REVIEW</t>
    </r>
  </si>
  <si>
    <r>
      <t xml:space="preserve">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b/>
        <sz val="11"/>
        <rFont val="Arial"/>
        <family val="2"/>
      </rPr>
      <t xml:space="preserve">! </t>
    </r>
    <r>
      <rPr>
        <sz val="11"/>
        <rFont val="Arial"/>
        <family val="2"/>
      </rPr>
      <t>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</si>
  <si>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</si>
  <si>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Value of products entered by the PR and verified as correct by the LFA in the PQR during reporting period</t>
  </si>
  <si>
    <r>
      <t>LFA's explanation of any significant variance between forecasted amounts and amounts as originally budgeted.</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</si>
  <si>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</si>
  <si>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 Where the number of SRs is significant (over 10), SRs with small budgets (less than $50,000 or EUR equivalent cumulative each) do not need to be reported separately and the figures can be aggregated in a group called "Other Minor SRs"</t>
  </si>
  <si>
    <r>
      <rPr>
        <b/>
        <sz val="13"/>
        <color indexed="12"/>
        <rFont val="Arial"/>
        <family val="2"/>
      </rP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</si>
  <si>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r>
      <rPr>
        <b/>
        <sz val="14"/>
        <color indexed="12"/>
        <rFont val="Arial"/>
        <family val="2"/>
      </rPr>
      <t>!</t>
    </r>
    <r>
      <rPr>
        <sz val="14"/>
        <rFont val="Arial"/>
        <family val="2"/>
      </rPr>
      <t xml:space="preserve"> Based on the information provided in the previous sections and your understanding of the grant, please summarise any </t>
    </r>
    <r>
      <rPr>
        <u/>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</si>
  <si>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On-going Progress Update and Disbursement Request and LFA On-going Progress Review and Disbursement Recommendation</t>
  </si>
  <si>
    <t xml:space="preserve">In completing this report, please refer  to the detailed "Guidelines for completing the
PR “ongoing progress update and disbursement request”, and LFA “ongoing progress review and disbursement recommendation”
</t>
  </si>
  <si>
    <r>
      <t>*</t>
    </r>
    <r>
      <rPr>
        <b/>
        <sz val="11"/>
        <rFont val="Arial"/>
        <family val="2"/>
      </rPr>
      <t xml:space="preserve"> Indicator No. should correspond to the indicator number listed in the approved Performance Framework of the grant (1.1, 1.2, etc.)</t>
    </r>
  </si>
  <si>
    <r>
      <rPr>
        <b/>
        <sz val="12"/>
        <color indexed="12"/>
        <rFont val="Arial"/>
        <family val="2"/>
      </rPr>
      <t>!</t>
    </r>
    <r>
      <rPr>
        <sz val="12"/>
        <rFont val="Arial"/>
        <family val="2"/>
      </rPr>
      <t xml:space="preserve"> Please include in this table the CP number as per Grant Agreement and full text of CPs and/or other special conditions due for fulfilment during this period </t>
    </r>
    <r>
      <rPr>
        <u/>
        <sz val="12"/>
        <rFont val="Arial"/>
        <family val="2"/>
      </rPr>
      <t>or</t>
    </r>
    <r>
      <rPr>
        <sz val="12"/>
        <rFont val="Arial"/>
        <family val="2"/>
      </rPr>
      <t xml:space="preserve"> outstanding from previous periods. 
</t>
    </r>
    <r>
      <rPr>
        <b/>
        <sz val="12"/>
        <color indexed="12"/>
        <rFont val="Arial"/>
        <family val="2"/>
      </rPr>
      <t>!</t>
    </r>
    <r>
      <rPr>
        <sz val="12"/>
        <color indexed="12"/>
        <rFont val="Arial"/>
        <family val="2"/>
      </rPr>
      <t xml:space="preserve"> </t>
    </r>
    <r>
      <rPr>
        <sz val="12"/>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</si>
  <si>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 xml:space="preserve">1a.  Have you updated the Price Quality Reporting (PQR) with the required information on the pharmaceuticals and health products received during the period covered by this PU/DR’ (if applicable)?  If health products procurement information has not been entered into the PQR, please explain why.
     </t>
    </r>
    <r>
      <rPr>
        <b/>
        <sz val="11"/>
        <color indexed="12"/>
        <rFont val="Arial"/>
        <family val="2"/>
      </rPr>
      <t>!</t>
    </r>
    <r>
      <rPr>
        <sz val="11"/>
        <rFont val="Arial"/>
        <family val="2"/>
      </rPr>
      <t xml:space="preserve">  For further guidance on PQR data entry, please refer to the guidelines.</t>
    </r>
  </si>
  <si>
    <r>
      <t xml:space="preserve">2.  Based on the most up-to-date stock situation, are there any risks of stockouts of key pharmaceuticals &amp; health products </t>
    </r>
    <r>
      <rPr>
        <b/>
        <u/>
        <sz val="11"/>
        <rFont val="Arial"/>
        <family val="2"/>
      </rPr>
      <t>at the central level</t>
    </r>
    <r>
      <rPr>
        <b/>
        <sz val="11"/>
        <rFont val="Arial"/>
        <family val="2"/>
      </rPr>
      <t xml:space="preserve"> in the next period of implementation?  If yes, please comment.</t>
    </r>
  </si>
  <si>
    <r>
      <t>!</t>
    </r>
    <r>
      <rPr>
        <sz val="11"/>
        <rFont val="Arial"/>
        <family val="2"/>
      </rPr>
      <t xml:space="preserve"> An explanation must be provided if there have been any adjustments.</t>
    </r>
  </si>
  <si>
    <t>(1) Additional Cash buffer can be requested if the next PU/DR report will contain a completed EFR report or a completed Annex on SR financials, requested by the Secretariat, or if there are any additional GF-specific requirements that cannot be delivered within 45 days. An agreement in principal from the FPM should be obtained prior to requesting an additional cash buffer.</t>
  </si>
  <si>
    <r>
      <t xml:space="preserve">! </t>
    </r>
    <r>
      <rPr>
        <sz val="11"/>
        <color indexed="53"/>
        <rFont val="Arial"/>
        <family val="2"/>
      </rPr>
      <t xml:space="preserve"> </t>
    </r>
    <r>
      <rPr>
        <sz val="11"/>
        <rFont val="Arial"/>
        <family val="2"/>
      </rPr>
      <t>The self-evaluation should be undertaken by taking into account programmatic achievements, financial performance and program issues in various functional areas (M&amp;E, Finance, Procurement, and Program Management, including management of sub-recipients).  See Guidelines for more detailed guidance.</t>
    </r>
    <r>
      <rPr>
        <b/>
        <sz val="11"/>
        <color indexed="12"/>
        <rFont val="Arial"/>
        <family val="2"/>
      </rPr>
      <t/>
    </r>
  </si>
  <si>
    <t>Cumulative Budget through period of this Progress Update*</t>
  </si>
  <si>
    <t>Cumulative Disbursed through period of this Progress Update*</t>
  </si>
  <si>
    <t>Cash balance at the end of the period covered by this Progress Update</t>
  </si>
  <si>
    <t>See guidance on SSUF content and format in the guidelines.</t>
  </si>
  <si>
    <r>
      <t>!</t>
    </r>
    <r>
      <rPr>
        <sz val="13"/>
        <rFont val="Arial"/>
        <family val="2"/>
      </rPr>
      <t xml:space="preserve"> This table should contain all issues raised in the last Management Letter from the Global Fund or outstanding from previous Management Letters, and comment on the progress.</t>
    </r>
  </si>
  <si>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</si>
  <si>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 xml:space="preserve">Variance between Latest Cumulative Expenditure Reported and Cumulative Budget </t>
  </si>
  <si>
    <t>Currency</t>
  </si>
  <si>
    <t>Top 10 indicator?</t>
  </si>
  <si>
    <t>LFA has debriefed the Principal Recipient on the key findings (comment on the format of this debriefing)</t>
  </si>
  <si>
    <t>Description of Identified Issues 
(in order of importance)</t>
  </si>
  <si>
    <t>LFA Recommendations 
(in order of importance)</t>
  </si>
  <si>
    <t>Status</t>
  </si>
  <si>
    <t>1. Total cash outflow vs. budget</t>
  </si>
  <si>
    <r>
      <t xml:space="preserve">2.  Cash received by the PR from the Global Fund during the period covered by this progress update: </t>
    </r>
    <r>
      <rPr>
        <vertAlign val="superscript"/>
        <sz val="11"/>
        <rFont val="Arial"/>
        <family val="2"/>
      </rPr>
      <t>(1)</t>
    </r>
  </si>
  <si>
    <r>
      <t xml:space="preserve"> by the Progress Update</t>
    </r>
    <r>
      <rPr>
        <sz val="11"/>
        <rFont val="Arial"/>
        <family val="2"/>
      </rPr>
      <t>:</t>
    </r>
  </si>
  <si>
    <t>Section 3A:  Total PR Cash Outflow</t>
  </si>
  <si>
    <t xml:space="preserve">LFA Comments/Analysis </t>
  </si>
  <si>
    <t>1. Anti-malaria medicines</t>
  </si>
  <si>
    <t>3. Rapid Diagnostic Tests</t>
  </si>
  <si>
    <t>4. Condoms</t>
  </si>
  <si>
    <t>5. Anti-retrovirals</t>
  </si>
  <si>
    <t>6. Anti-TB Medicines</t>
  </si>
  <si>
    <t>Yes</t>
  </si>
  <si>
    <t>No</t>
  </si>
  <si>
    <t>Program management (including SR management)</t>
  </si>
  <si>
    <t>Financial management and systems</t>
  </si>
  <si>
    <t>Monitoring and evaluation</t>
  </si>
  <si>
    <t>Outcome</t>
  </si>
  <si>
    <t>This value will be determined through the KAP survey which is ecpected to take place in  March 2012</t>
  </si>
  <si>
    <t>The results will be determined through the KAP end line survey is expected to take place March  2012</t>
  </si>
  <si>
    <t>The results will be determined through the KAP end line survey is expected to take place in March  2012</t>
  </si>
  <si>
    <t>Pharmaceutical &amp; health product management</t>
  </si>
  <si>
    <t>Other management issues, including: PR capacity to develop quality programmatic and financial reports</t>
  </si>
  <si>
    <t>2. Bed nets</t>
  </si>
  <si>
    <t>Reasons for programmatic deviation from intended target and deviations from the related workplan activities</t>
  </si>
  <si>
    <t>Verified Result</t>
  </si>
  <si>
    <t>A.  Impact / Outcome Indicators</t>
  </si>
  <si>
    <t>A. Impact / Outcome Indicators</t>
  </si>
  <si>
    <t>Name of Entity</t>
  </si>
  <si>
    <t>Type of Implementing Entity</t>
  </si>
  <si>
    <t>Date of Most Recent Disbursement to SR</t>
  </si>
  <si>
    <t>Disbursed during Reporting Period*</t>
  </si>
  <si>
    <t>Cumulative Disbursed through period of Progress Update*</t>
  </si>
  <si>
    <t>Latest Cumulative Actual Expenditure (as per most recent SR reports available at PR level)</t>
  </si>
  <si>
    <t>End date of period covered in most recent SR report</t>
  </si>
  <si>
    <t>Expenditure Verified by PR (YES/NO)</t>
  </si>
  <si>
    <t>TOTAL</t>
  </si>
  <si>
    <t>Approved budget amount (reported by PR):</t>
  </si>
  <si>
    <r>
      <t xml:space="preserve">Due date 
</t>
    </r>
    <r>
      <rPr>
        <b/>
        <sz val="9"/>
        <rFont val="Arial"/>
        <family val="2"/>
      </rPr>
      <t>(dd-mmm-yy)</t>
    </r>
  </si>
  <si>
    <t xml:space="preserve">    2a.  Medicines and pharmaceutical products</t>
  </si>
  <si>
    <t xml:space="preserve">    2b.  Health products and health equipment</t>
  </si>
  <si>
    <t>approved budget amount:</t>
  </si>
  <si>
    <t>LFA-verified approved budget amount:</t>
  </si>
  <si>
    <r>
      <t xml:space="preserve">3.  Cash disbursed to third parties by the Global Fund on behalf of the PR during the period covered by this progress update: </t>
    </r>
    <r>
      <rPr>
        <vertAlign val="superscript"/>
        <sz val="11"/>
        <rFont val="Arial"/>
        <family val="2"/>
      </rPr>
      <t>(1)</t>
    </r>
  </si>
  <si>
    <t>- used to convert Total PR Cash Outflow for the Progress Update Period</t>
  </si>
  <si>
    <t>6.  Other income, if applicable (e.g. income from disposal of fixed assets, tax refunds)</t>
  </si>
  <si>
    <r>
      <t xml:space="preserve">8.  Net exchange rate gains/losses </t>
    </r>
    <r>
      <rPr>
        <i/>
        <sz val="11"/>
        <rFont val="Arial"/>
        <family val="2"/>
      </rPr>
      <t>(gains should be shown with a minus sign; losses should be shown with a plus sign)</t>
    </r>
  </si>
  <si>
    <t>8.  Net exchange rate gains/losses (gains should be shown with a minus sign; losses should be shown with a plus sign)</t>
  </si>
  <si>
    <t>Rates used by the PR</t>
  </si>
  <si>
    <t>LFA-verified rates</t>
  </si>
  <si>
    <t>Due date</t>
  </si>
  <si>
    <t>Cumulative Budget through period of Progress Update</t>
  </si>
  <si>
    <t>2. Total pharmaceutical &amp; health product expenditures vs. budget</t>
  </si>
  <si>
    <t>2.  Cash received by the PR from the Global Fund during the period covered by this progress update:</t>
  </si>
  <si>
    <t>- used to convert Total Cash Outflow for the Progress Update Period</t>
  </si>
  <si>
    <t>7.  Total cash outflow during period covered by Progress Update (value entered in Section 3A "Total cash outflow"):</t>
  </si>
  <si>
    <t>LFA-VERIFIED TABLES ON TOTAL PR CASH OUTFLOW</t>
  </si>
  <si>
    <t>Tied to</t>
  </si>
  <si>
    <t>State the amount in words</t>
  </si>
  <si>
    <t xml:space="preserve">* If LFA-entered data differs from PR's figures, the respective cells will change colour automatically </t>
  </si>
  <si>
    <t>On-going Progress Update and Disbursement Request</t>
  </si>
  <si>
    <t>Note: The table below should contain those Impact/Outcome indicators that are (1) due for reporting during the current year of a grant and (2) those reporting on which is overdue from the previous periods.</t>
  </si>
  <si>
    <r>
      <t xml:space="preserve">Intended Target
to date
 </t>
    </r>
    <r>
      <rPr>
        <sz val="11"/>
        <rFont val="Arial"/>
        <family val="2"/>
      </rPr>
      <t>(from PF)</t>
    </r>
  </si>
  <si>
    <t>Actual Cash Outflow for Reporting Period</t>
  </si>
  <si>
    <t>Cumulative Actual Cash Outflow through period of Progress Update</t>
  </si>
  <si>
    <t>PR's explanation of variance (mandatory for amounts above $50,000 and with more than 10% variance)</t>
  </si>
  <si>
    <t>B.  LFA-RECOMMENDED DISBURSEMENT AMOUNT AND EXPLANATIONS</t>
  </si>
  <si>
    <t>Country:</t>
  </si>
  <si>
    <t>Disease:</t>
  </si>
  <si>
    <t>Grant number:</t>
  </si>
  <si>
    <t xml:space="preserve">LFA comments on (a) verified result, (b) source of information used by the PR to report results, including the status of completion of surveys and other methods to measure Impact/Outcome, as applicable,  </t>
  </si>
  <si>
    <r>
      <t xml:space="preserve">LFA analysis on progress to date and any variance between targets and results, and any other comments
</t>
    </r>
    <r>
      <rPr>
        <sz val="11"/>
        <rFont val="Arial"/>
        <family val="2"/>
      </rPr>
      <t>(</t>
    </r>
    <r>
      <rPr>
        <u/>
        <sz val="11"/>
        <rFont val="Arial"/>
        <family val="2"/>
      </rPr>
      <t>this should not be a “Copy and Paste” of the reasons provided by the PR</t>
    </r>
    <r>
      <rPr>
        <sz val="11"/>
        <rFont val="Arial"/>
        <family val="2"/>
      </rPr>
      <t>)</t>
    </r>
  </si>
  <si>
    <r>
      <t xml:space="preserve">% achievement
</t>
    </r>
    <r>
      <rPr>
        <u/>
        <sz val="11"/>
        <rFont val="Arial"/>
        <family val="2"/>
      </rPr>
      <t>(Please calculate as appropriate</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</si>
  <si>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</si>
  <si>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Country</t>
  </si>
  <si>
    <t>PLEASE REFER TO THE "GUIDANCE FOR COMPLETION OF THE ENHANCED FINANCIAL REPORTING TEMPLATE" DOCUMENT TO ASSIST YOU IN COMPLETING THE TEMPLATE</t>
  </si>
  <si>
    <t>Grant No.</t>
  </si>
  <si>
    <t>PR</t>
  </si>
  <si>
    <t>Please Select …</t>
  </si>
  <si>
    <t>dd-mm-yyyy</t>
  </si>
  <si>
    <t>Current Reporting Period</t>
  </si>
  <si>
    <t>Start Date:</t>
  </si>
  <si>
    <t>Cumulative Reporting Period</t>
  </si>
  <si>
    <t>The end date for the current reporting period and cumulative reporting period must be the same</t>
  </si>
  <si>
    <t xml:space="preserve">The "TOTAL" rows in Table A, B and C will have a RED background if the amounts in each table do not agree. If the Totals for each Table agrees, these rows will have a YELLOW background. </t>
  </si>
  <si>
    <t>A- BREAKDOWN* BY  EXPENDITURE CATEGORY</t>
  </si>
  <si>
    <t>#</t>
  </si>
  <si>
    <t>Category</t>
  </si>
  <si>
    <t xml:space="preserve"> 
Budget</t>
  </si>
  <si>
    <t xml:space="preserve">
Expenditures</t>
  </si>
  <si>
    <t>Cumulative Budget</t>
  </si>
  <si>
    <t>Cumulative Expenditure</t>
  </si>
  <si>
    <t>Human Resources</t>
  </si>
  <si>
    <t>Technical Assistance</t>
  </si>
  <si>
    <t>Training</t>
  </si>
  <si>
    <t>Health Products and Health Equipment</t>
  </si>
  <si>
    <t>Medicines and Pharmaceutical Products</t>
  </si>
  <si>
    <t>Procurement and Supply Management Costs</t>
  </si>
  <si>
    <t>Infrastructure and Other Equipment</t>
  </si>
  <si>
    <t>Communication Materials</t>
  </si>
  <si>
    <t>Planning and Administration</t>
  </si>
  <si>
    <t>Overheads</t>
  </si>
  <si>
    <t>Other</t>
  </si>
  <si>
    <t>B- BREAKDOWN* BY PROGRAM ACTIVITY</t>
  </si>
  <si>
    <t>Macro-category</t>
  </si>
  <si>
    <t>Objectives</t>
  </si>
  <si>
    <t>Service Delivery Area</t>
  </si>
  <si>
    <t>Please Select…</t>
  </si>
  <si>
    <t>C- BREAKDOWN* BY IMPLEMENTING ENTITY</t>
  </si>
  <si>
    <t>PR/SR</t>
  </si>
  <si>
    <t>Name</t>
  </si>
  <si>
    <t>Type of
Implementing Entity</t>
  </si>
  <si>
    <t>** For the purposes of this report, the SDA Program management and administration should be included in the Supportive Environment Macro Category.</t>
  </si>
  <si>
    <t>D- ADDITIONAL INFORMATION</t>
  </si>
  <si>
    <r>
      <t>Please disclose any relevant information concerning the information in the above tables.</t>
    </r>
    <r>
      <rPr>
        <b/>
        <i/>
        <sz val="11"/>
        <rFont val="Arial"/>
        <family val="2"/>
      </rPr>
      <t xml:space="preserve"> Refer to the Guidelines for Completing the Template if required.</t>
    </r>
  </si>
  <si>
    <t>3.  Indicate any expenditures (incurred or forecasted) that should not be financed by the Global Fund</t>
  </si>
  <si>
    <t>Annex to PU/DR - Sub-recipient financial information - FOR DISCRETIONARY COMPLETION, UPON THE SECRETARIAT'S REQUEST</t>
  </si>
  <si>
    <t>Has the Secretariat requested the PR to complete this Annex for this reporting period?</t>
  </si>
  <si>
    <t>Prevention</t>
  </si>
  <si>
    <t>Treatment</t>
  </si>
  <si>
    <t>Care and Support</t>
  </si>
  <si>
    <t>TB/HIV Collaborative Activities</t>
  </si>
  <si>
    <t>Supportive Environment</t>
  </si>
  <si>
    <t>-</t>
  </si>
  <si>
    <t>FBO</t>
  </si>
  <si>
    <t>NGO/CBO/Academic</t>
  </si>
  <si>
    <t>Private Sector</t>
  </si>
  <si>
    <t>Other Government</t>
  </si>
  <si>
    <t>UNDP</t>
  </si>
  <si>
    <r>
      <t>!</t>
    </r>
    <r>
      <rPr>
        <sz val="14"/>
        <rFont val="Arial"/>
        <family val="2"/>
      </rPr>
      <t xml:space="preserve"> For RCC grants the cumulative section of the table below should contain cumulative amount from the start of the RCC and not from the start of Phase 1 of the program.</t>
    </r>
  </si>
  <si>
    <t>9. Reconciliation adjustments (gains should be shown with a minus sign; losses should be shown with a plus sign)</t>
  </si>
  <si>
    <r>
      <t xml:space="preserve">9. Reconciliation adjustments </t>
    </r>
    <r>
      <rPr>
        <i/>
        <sz val="11"/>
        <rFont val="Arial"/>
        <family val="2"/>
      </rPr>
      <t>(gains should be shown with a minus sign; losses should be shown with a plus sign</t>
    </r>
    <r>
      <rPr>
        <sz val="11"/>
        <rFont val="Arial"/>
        <family val="2"/>
      </rPr>
      <t>)</t>
    </r>
  </si>
  <si>
    <t>10.  Cash Balance: End of period covered by Progress Update:</t>
  </si>
  <si>
    <t>Explanation of reconciliation adjustments (line 9)</t>
  </si>
  <si>
    <t>LFA Comments on verified amounts (if they are different from those reported by the PR) and PR's explanation of reconciliation adjustments (line 9)</t>
  </si>
  <si>
    <t>Objective No.</t>
  </si>
  <si>
    <t>TERMS AND ACRONYMS USED IN THIS PROGRESS REVIEW AND DISBURSEMENT RECOMMENDATION HAVE THE MEANING GIVEN TO THEM IN THE GRANT AGREEMENT RELATING TO THE ABOVE GRANT</t>
  </si>
  <si>
    <t>Verification Method</t>
  </si>
  <si>
    <t>LFA Organization / Responsible office:</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</si>
  <si>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</si>
  <si>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</si>
  <si>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</si>
  <si>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</si>
  <si>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Signed on behalf of the LFA: </t>
  </si>
  <si>
    <t xml:space="preserve">Name: </t>
  </si>
  <si>
    <t xml:space="preserve">Title: </t>
  </si>
  <si>
    <t xml:space="preserve">Date and Place: </t>
  </si>
  <si>
    <t>On behalf of the PR, the undersigned hereby requests the Global Fund to disburse funds under the above-referenced Grant Agreement as follows:</t>
  </si>
  <si>
    <t>List of supporting documents for PU/DR review</t>
  </si>
  <si>
    <t>PR's explanation of any significant variance between forecasted amounts and amounts as originally budgeted.</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</si>
  <si>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</si>
  <si>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</si>
  <si>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Comments regarding verifications, if any:</t>
  </si>
  <si>
    <t>GENERAL GRANT INFORMATION</t>
  </si>
  <si>
    <t>PROGRESS UPDATE PERIOD</t>
  </si>
  <si>
    <t>DISBURSEMENT REQUEST PERIOD</t>
  </si>
  <si>
    <t>Upon completion, this form should be submitted (with supporting documentation) to the Local Fund Agent and copied to the Global Fund.</t>
  </si>
  <si>
    <t>Service Delivery Areas</t>
  </si>
  <si>
    <t>Impact Indicators</t>
  </si>
  <si>
    <t>IndicatorTypes</t>
  </si>
  <si>
    <t>Outcome Indicators</t>
  </si>
  <si>
    <t>DataSources</t>
  </si>
  <si>
    <t>Please select…</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</si>
  <si>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</si>
  <si>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</si>
  <si>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</si>
  <si>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</si>
  <si>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</si>
  <si>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</si>
  <si>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</si>
  <si>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</si>
  <si>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</si>
  <si>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</si>
  <si>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</si>
  <si>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</si>
  <si>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</si>
  <si>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</si>
  <si>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</si>
  <si>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</si>
  <si>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</si>
  <si>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</si>
  <si>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</si>
  <si>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</si>
  <si>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</si>
  <si>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</si>
  <si>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 xml:space="preserve">Conditions Precedent and/or other special conditions
</t>
  </si>
  <si>
    <r>
      <t xml:space="preserve">! </t>
    </r>
    <r>
      <rPr>
        <sz val="13"/>
        <rFont val="Arial"/>
        <family val="2"/>
      </rPr>
      <t>Please indicate a date for the report due for submission.  If a report is overdue, indicate the original due date and explain the reason for delay.</t>
    </r>
  </si>
  <si>
    <t>This table should contain the due date for the report due for submission.  If a report is overdue, indicate the original due date and explain the reason for delay.</t>
  </si>
  <si>
    <t>FPM Comments
(to be completed upon receipt of the LFA-verified form)</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</si>
  <si>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</si>
  <si>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</si>
  <si>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</si>
  <si>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</si>
  <si>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</si>
  <si>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</si>
  <si>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</si>
  <si>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</si>
  <si>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</si>
  <si>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</si>
  <si>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</si>
  <si>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PR Total Forecast</t>
  </si>
  <si>
    <t>LFA Total Forecast</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</si>
  <si>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</si>
  <si>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</si>
  <si>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</si>
  <si>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</si>
  <si>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</si>
  <si>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</si>
  <si>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</si>
  <si>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</si>
  <si>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</si>
  <si>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</si>
  <si>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</si>
  <si>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</si>
  <si>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</si>
  <si>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Please select disease and Impact/Outcome first</t>
  </si>
  <si>
    <t>Indicator No.</t>
  </si>
  <si>
    <t>Enhanced Financial Reporting (EFR)</t>
  </si>
  <si>
    <t>Required Documentation</t>
  </si>
  <si>
    <t>Comments</t>
  </si>
  <si>
    <t>- used to convert Opening Cash Balance</t>
  </si>
  <si>
    <t>- used to convert Closing Cash Balance</t>
  </si>
  <si>
    <t>LFA Comments</t>
  </si>
  <si>
    <t>Section 2:  Grant Management</t>
  </si>
  <si>
    <t>LFA Analysis of Variance</t>
  </si>
  <si>
    <t>Report Due Date</t>
  </si>
  <si>
    <t>Comments on results on Impact/Outcome indicators and data sources, and any other comments</t>
  </si>
  <si>
    <r>
      <t xml:space="preserve">C. Analysis of data quality and reporting issues
</t>
    </r>
    <r>
      <rPr>
        <b/>
        <sz val="11"/>
        <color indexed="12"/>
        <rFont val="Arial"/>
        <family val="2"/>
      </rPr>
      <t>(!)</t>
    </r>
    <r>
      <rPr>
        <sz val="11"/>
        <color indexed="12"/>
        <rFont val="Arial"/>
        <family val="2"/>
      </rPr>
      <t xml:space="preserve"> </t>
    </r>
    <r>
      <rPr>
        <sz val="11"/>
        <rFont val="Arial"/>
        <family val="2"/>
      </rPr>
      <t>This section should contain (1) a summary of issues related to data quality and reporting on programmatic indicators, and any relevant issues which are not covered in 'Reasons for programmatic deviation', and (2) remedial actions that are underway or planned to address these issues.</t>
    </r>
  </si>
  <si>
    <t>Section 5:  LFA-verified Cash Reconciliation &amp; Disbursement Recommendation</t>
  </si>
  <si>
    <t>Disbursement Request - Disbursement Period:</t>
  </si>
  <si>
    <t>3.  Comment on additional issues related to the procurement and supply management of pharmaceuticals and health products</t>
  </si>
  <si>
    <t>PR's response</t>
  </si>
  <si>
    <t>LFA's response</t>
  </si>
  <si>
    <t>Reporting Currency</t>
  </si>
  <si>
    <t>PQR Product Categories</t>
  </si>
  <si>
    <t xml:space="preserve">DISBURSEMENT REQUEST </t>
  </si>
  <si>
    <t xml:space="preserve">PROGRESS UPDATE </t>
  </si>
  <si>
    <t>Care and support: Care and support for the chronically ill</t>
  </si>
  <si>
    <t>Principal Recipient:</t>
  </si>
  <si>
    <t>Currency:</t>
  </si>
  <si>
    <t>Beginning Date:</t>
  </si>
  <si>
    <t>Value</t>
  </si>
  <si>
    <t>Year</t>
  </si>
  <si>
    <t>Indicator Description</t>
  </si>
  <si>
    <t>Conditions Precedent and/or other special conditions</t>
  </si>
  <si>
    <t>Budget for Reporting Period</t>
  </si>
  <si>
    <t>Variance</t>
  </si>
  <si>
    <t>Reason for Variance</t>
  </si>
  <si>
    <t xml:space="preserve">    1a. PR's total expenditures</t>
  </si>
  <si>
    <t xml:space="preserve">    1b. Disbursements to sub-recipients</t>
  </si>
  <si>
    <t>A: CASH RECONCILIATION FOR PERIOD COVERED BY PROGRESS UPDATE</t>
  </si>
  <si>
    <t>Add:</t>
  </si>
  <si>
    <t>Less:</t>
  </si>
  <si>
    <t>B: DISBURSEMENT REQUEST</t>
  </si>
  <si>
    <t>end date:</t>
  </si>
  <si>
    <t>A: CASH REQUEST</t>
  </si>
  <si>
    <t>Signed on behalf of the Principal Recipient:
(signature of Authorized Designated Representative)</t>
  </si>
  <si>
    <t>Select</t>
  </si>
  <si>
    <t>End Date:</t>
  </si>
  <si>
    <t>Total forecasted net cash expenditures by the Principal Recipient for the period immediately following the period covered</t>
  </si>
  <si>
    <t>Name:</t>
  </si>
  <si>
    <t>Title:</t>
  </si>
  <si>
    <t>Date and Place:</t>
  </si>
  <si>
    <t>Program Start Date:</t>
  </si>
  <si>
    <t>B: AUTHORIZATION</t>
  </si>
  <si>
    <t>Grant Number:</t>
  </si>
  <si>
    <r>
      <t xml:space="preserve">Baseline 
</t>
    </r>
    <r>
      <rPr>
        <sz val="11"/>
        <rFont val="Arial"/>
        <family val="2"/>
      </rPr>
      <t>(if applicable)</t>
    </r>
  </si>
  <si>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</si>
  <si>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</si>
  <si>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Bank SWIFT Code:</t>
  </si>
  <si>
    <t>forecasted amount:</t>
  </si>
  <si>
    <t>Progress Update - Reporting Period:</t>
  </si>
  <si>
    <t>Progress Update - Period Covered:</t>
  </si>
  <si>
    <t>Progress Update - Number:</t>
  </si>
  <si>
    <t>Disbursement Request  - Period Covered:</t>
  </si>
  <si>
    <t>Disbursement Request  - Number:</t>
  </si>
  <si>
    <t>Disbursement Request  - Disbursement Period:</t>
  </si>
  <si>
    <t>Cycle:</t>
  </si>
  <si>
    <t>Number:</t>
  </si>
  <si>
    <t>LFA On-going Progress Review and Disbursement Recommendation</t>
  </si>
  <si>
    <t xml:space="preserve">Impact / Outcome </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</si>
  <si>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</si>
  <si>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B.  Planned Changes in the Program, if any</t>
  </si>
  <si>
    <t>C.  External factors beyond the control of the Principal Recipient that have impacted or may impact the Program</t>
  </si>
  <si>
    <r>
      <t>B.  LFA comments on PR planned changes in the program, if any</t>
    </r>
    <r>
      <rPr>
        <sz val="11"/>
        <color indexed="9"/>
        <rFont val="Arial"/>
        <family val="2"/>
      </rPr>
      <t/>
    </r>
  </si>
  <si>
    <t>C.  LFA Comments on External Factors Beyond Control of the Principal Recipients that have impacted or may impact program</t>
  </si>
  <si>
    <t>A.  PR's Overall Self-Evaluation of Grant Performance (including a summary of how financial performance is linked to programmatic achievements)</t>
  </si>
  <si>
    <t>Prevention: Post-exposure prophylaxis (PEP)</t>
  </si>
  <si>
    <t xml:space="preserve">During the lifetime of a grant, the Global Fund periodically disburses funds to the Principal Recipient (PR) based on demonstrated program performance and financial needs for the following period of implementation. 
The PR’s ongoing progress update and disbursement request (PU/DR) is both a progress report on the latest completed period of program implementation and a request for funds for the following period of implementation. Its purpose is to provide an update of the programmatic and financial progress of a Global Fund-financed grant, as well as an update on fulfillment of conditions precedent, management actions and other requirements. The PU/DR, alongside the Local Fund Agent (LFA) ongoing progress review and disbursement recommendation (short-form: LFA-verified PU/DR), forms the basis for the Global Fund’s disbursement decision by linking historical and expected program performance with the level of financing to be provided to the PR.
One Excel file contains both the PR’s PU/DR and the LFA-verified PU/DR. The PR should only complete the worksheets of the file pertaining to the PU/DR (the worksheet tabs color-coded in green), whereas the LFA should complete the worksheets of the file pertaining to the LFA-verified PU/DR (the worksheet tabs color-coded in blue). The Excel file also includes a reference checklist of supporting documents for the PU/DR review (the worksheet tab color-coded in yellow). This checklist is included for information and not for completion. The PU/DR should be completed by the PR of a Global Fund grant for every period in which a progress update is required, usually either on a quarterly, semiannual or annual basis, regardless of whether or not a disbursement is being requested. Once a year, the PR is expected to submit the Enhanced Financial Report (EFR) as part of the PU/DR (there is a dedicated tab for EFR in the Excel file). 
The PR is required to submit the PU/DR to the LFA within 45 calendar days from the closing date of the relevant progress update period when the report does not contain the EFR (as indicated in the performance framework of Annex A of the grant agreement) and within 60 calendar days when the report contains the EFR (once a year). 
The LFA should complete and submit a signed copy of the LFA-verified PU/DR to the Global Fund within ten working days after receiving the final signed version of the PU/DR from the PR and within 13 working days when the PU/DR report contains the EFR (once a year), unless agreed otherwise with the FPM (The LFA does not need to submit original/hard copies of each PU/DR reports. However, these documents should be available at the LFA’s offices for any audit/reviews. Also, the LFA should be ready at all times to submit these originals to the Secretariat upon request).  In this report the LFA should provide an analysis and comments based on verification of the PR-reported information, document grant risks and recommendations for improving program implementation, and finally, provide a performance rating to the grant and disbursement recommendation for the Global Fund’s consideration.  In defining the performance rating and recommending a disbursement amount, the LFA should use the Grant Rating Methodology of the Global Fund (as described in Annex 2 and communicated at various regional meetings and LFA training events) along with the Excel version of the Grant Rating Tool (to be provided to LFAs) to support the calculation of Indicator Rating.  
</t>
  </si>
  <si>
    <t>! A Statement of Sources and Uses of Funds (SSUF) is to be provided by PR along with the PUDR form</t>
  </si>
  <si>
    <r>
      <rPr>
        <b/>
        <sz val="16"/>
        <color indexed="12"/>
        <rFont val="Arial"/>
        <family val="2"/>
      </rPr>
      <t xml:space="preserve">Annex to PU/DR - LFA-reviewed Sub-recipient financial information </t>
    </r>
    <r>
      <rPr>
        <b/>
        <sz val="14"/>
        <color indexed="12"/>
        <rFont val="Arial"/>
        <family val="2"/>
      </rPr>
      <t xml:space="preserve">
! Completion of this table by the PR and verification by the LFA are </t>
    </r>
    <r>
      <rPr>
        <b/>
        <u/>
        <sz val="14"/>
        <color indexed="12"/>
        <rFont val="Arial"/>
        <family val="2"/>
      </rPr>
      <t>discretionary</t>
    </r>
    <r>
      <rPr>
        <b/>
        <sz val="14"/>
        <color indexed="12"/>
        <rFont val="Arial"/>
        <family val="2"/>
      </rPr>
      <t>, and should be done upon the Secretariat's request.</t>
    </r>
  </si>
  <si>
    <t>Cumulative Actual Expenditure through period covered by this Progress Update</t>
  </si>
  <si>
    <t>NB: The LFA should sign a printed version of the verified PU/DR and send it to the Secretariat as a pdf file by email, or include an electronic signature in the Excel file to be submitted to the Global Fund.</t>
  </si>
  <si>
    <t>Prevention: Behavioral Change Communication - Mass media</t>
  </si>
  <si>
    <t>Prevention: Behavioral Change Communication - community outreach</t>
  </si>
  <si>
    <t xml:space="preserve">Prevention: Counseling and Testing </t>
  </si>
  <si>
    <t>Supportive environment: Program management and administration</t>
  </si>
  <si>
    <t>HSS: Other, specify</t>
  </si>
  <si>
    <t>Prevention:  Behavioral Change Communication - Mass media</t>
  </si>
  <si>
    <t>Prevention:  Behavioral Change Communication - community outreach</t>
  </si>
  <si>
    <t>Other:Specify</t>
  </si>
  <si>
    <t>Bhutan</t>
  </si>
  <si>
    <t>HIV/AIDS</t>
  </si>
  <si>
    <t>BTN-607-G03-H</t>
  </si>
  <si>
    <t xml:space="preserve">Ministry of Health </t>
  </si>
  <si>
    <t>USD</t>
  </si>
  <si>
    <t>Quarter</t>
  </si>
  <si>
    <t>Impact</t>
  </si>
  <si>
    <t>Percentage of uniformed personnel who are  HIV infected</t>
  </si>
  <si>
    <t>Percentage of out of school youths aged 15-24 reporting the consistent use of condoms  with non regular sexual partners in last year</t>
  </si>
  <si>
    <t xml:space="preserve">Percentage of uniformed personnel reporting the consistent use of condoms with non regular sexual partners in the last year </t>
  </si>
  <si>
    <t>0.05%</t>
  </si>
  <si>
    <t>0.20%</t>
  </si>
  <si>
    <t>&lt;0.1%</t>
  </si>
  <si>
    <t>N/A</t>
  </si>
  <si>
    <t>NA</t>
  </si>
  <si>
    <t>Young people reached by life-skill based HIV/AIDS education in schools-grade 7 and above (number and percentage)</t>
  </si>
  <si>
    <t>GF</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</si>
  <si>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</si>
  <si>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</si>
  <si>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</si>
  <si>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</si>
  <si>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 xml:space="preserve">Number of Transport workers reached with HIV education </t>
  </si>
  <si>
    <t>Number of uniformed personnel and their families participating in HIV Awareness workshops</t>
  </si>
  <si>
    <t>Number of monks, nuns and members of non-formal religious groups reached by HIV/AIDS education</t>
  </si>
  <si>
    <t>Number of persons counseled and tested including provision of results</t>
  </si>
  <si>
    <t>GF and other donors</t>
  </si>
  <si>
    <t>Q2 of 2012</t>
  </si>
  <si>
    <t>Y-over program term</t>
  </si>
  <si>
    <t>N-not cumulative</t>
  </si>
  <si>
    <t>Yes - Top 10</t>
  </si>
  <si>
    <t>25 percent (19)</t>
  </si>
  <si>
    <t>Percentage of Men  &amp; Women aged 15-49 who are HIV infected</t>
  </si>
  <si>
    <t>Provide evidence in form and substance satisfactory to the Global Fund that the Principal Recipient has recruited or assigned a Monitoring &amp; Evalaution (M&amp;E) coordinator</t>
  </si>
  <si>
    <t>M&amp;E officer has been recruited at the Project Management Unit to monitor the the GF activties for a duration of 3 years starting April 2010</t>
  </si>
  <si>
    <t xml:space="preserve">Provide evidence in form and substance satisfactory to the Global Fund that the Principal Recipient has standardised formats &amp; guidelines for data collection and reporting through out the country; and </t>
  </si>
  <si>
    <t>PMT has now standardized the reporting format for GF  HIV reporting ans trained all the SR's . There are still more reporting formats which needs to be standardised</t>
  </si>
  <si>
    <t>Provide evidence, in form and substance satisfactory to the Global Fund, the the Principal Recipient has implemented and M&amp;E training and supervision plan for reporting units</t>
  </si>
  <si>
    <t>The disbursement by the GF or use by PR of global funds to finance the procurement of Health products (as defined in Article 19 of the Standard Terms and Condition of this Agreement), is subject to the following conditions:</t>
  </si>
  <si>
    <t>Updated PSM plan has been developed and submitted to GF</t>
  </si>
  <si>
    <t>(a) The Principal Recipient shall submit to the Global Fund a plan for procurement , use &amp; supply management of Health Products for phase 2 of program (Updated PSM Plan) in accordance with Global Fund guidelines for review and approval by the Global Fund. The Updated PSM shall:</t>
  </si>
  <si>
    <t xml:space="preserve">The PSM plan has been submitted to GF </t>
  </si>
  <si>
    <t xml:space="preserve">(i) address the deficiencies identified during the Phase 1 review in consultation with the GF, particularly those deficiencies relating to procurement process, quality assurance systems, storage and distribution as well as inventory mangement; and </t>
  </si>
  <si>
    <t>The dediciencies and gaps identified during the pashe 1 review process are being taken into account especially on the logistics and supply managagement</t>
  </si>
  <si>
    <t xml:space="preserve">(ii) include assumptions on forecasting for ARVs and testing products in order to ensure alignment with the performance framework and work plan and budget, where appropriate; and </t>
  </si>
  <si>
    <t>Appropriate forcasting for the ARV &amp; diagnostic products have been done in close consultation with the Drug procurment division. The forcasting was based on the past consumption of the drugs and test kits from various service delivery points</t>
  </si>
  <si>
    <t xml:space="preserve">(b) The written approval of the Global Fund of the updated PSM plan </t>
  </si>
  <si>
    <t>PSM plan has been submitted since June 2010 and the plan has been approved in March 2011, the delay in approval of PSM plan has casued a major hitch to the implementation rate of project</t>
  </si>
  <si>
    <t>The Principal Recipient acknowledges and agrees that Ministry of Health will be responsible for the implementation of the Program</t>
  </si>
  <si>
    <t xml:space="preserve">MOH has been designated as the new PR after the signing of the phase 2 agreement of the project. </t>
  </si>
  <si>
    <t xml:space="preserve">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 program officer, (2) M&amp; E Coordinator, (3) Finance Officer/Accoutant (4) Project Manager </t>
  </si>
  <si>
    <t>The PMU established to faciliate the coordination of GF grant have team comprising of Project Coordinator, M&amp;E officer, 2 finance personel , 1 administrative assiatnt , 1 procurement officer dealing with the procurement of health products  to manage the grants</t>
  </si>
  <si>
    <t>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t>
  </si>
  <si>
    <t>The detailed quarterly budget for year 4 &amp;5 has been delivered  and been approved by GF</t>
  </si>
  <si>
    <t>Following each procurement of health products the Principal Recipient shall update the informatin for key health products in the Global Fund's on-line Price and Quality Reporting (PQR) database, in accordance with Global Fund guidelines on Price and Quality Reporting.</t>
  </si>
  <si>
    <t>In Progress</t>
  </si>
  <si>
    <t xml:space="preserve">The PQR shall be updated as &amp; when the health products products  &amp; equipments are procured </t>
  </si>
  <si>
    <t xml:space="preserve">The SR supervison plan has been developed and the M&amp;E training has been conducted </t>
  </si>
  <si>
    <t>Submitted to GF</t>
  </si>
  <si>
    <r>
      <t>Number</t>
    </r>
    <r>
      <rPr>
        <sz val="12"/>
        <rFont val="Arial"/>
        <family val="2"/>
      </rPr>
      <t xml:space="preserve"> of people with advanced HIV infection receiving antiretroviral treatment</t>
    </r>
  </si>
  <si>
    <t>National Program</t>
  </si>
  <si>
    <t>Preparation on track</t>
  </si>
  <si>
    <t>Th</t>
  </si>
  <si>
    <t>During the reporting period no procurment of health products were made . However we update the PQR as a mandate by The Global Fund as and when procurment of health products are made</t>
  </si>
  <si>
    <t xml:space="preserve">Ngultrums, Royal Monetary Authrotity of Bhutan </t>
  </si>
  <si>
    <t xml:space="preserve">Ngultrums, Royal Monetary Authrotiy of Bhutan </t>
  </si>
  <si>
    <t>Ngultrum, Royal Monetary Authority of Bhutan</t>
  </si>
  <si>
    <t>There are no risk of stock outs of ARV drugs for the people on treatment as of most up to date stock situation. The DVED responsible for the procurement and forecasting of drugs ensures that there are no stock out of ARV drugs. Through the approved year 3 budget they have procured one consignment of ARV drugs and the stocks are expected to last for atleast 6 months.</t>
  </si>
  <si>
    <t>Due limited staffs in DVED to deal with the procurement of drugs and also with the stringetn rules on drugs procurement of Drug Regulatory Authrity there has been stock out of some of the drugs. But this has not affedted the drugs supply of ARV DRUGS. There is alsoc a need to build the capacity of the staffs in DVED especailly on Global Fund Procurement policies and on the PQR updating.</t>
  </si>
  <si>
    <t>Department of Youth &amp; Sports, MoE</t>
  </si>
  <si>
    <t>Department of Adult &amp; Higher Learning, MoE</t>
  </si>
  <si>
    <t>Ministry of Labour &amp; Human Resource</t>
  </si>
  <si>
    <t>Bhutan Chamber of Commerce &amp; Industries</t>
  </si>
  <si>
    <t>Armed Forces</t>
  </si>
  <si>
    <t>Dratshang Lhengtshog</t>
  </si>
  <si>
    <t>Royal Institute of Health Sciences</t>
  </si>
  <si>
    <t>As of now 395 teachers were trained as TOT on LSE in the 5 districts of samtse, pemagatsel , sarpang, Gasa &amp;dagana. From  the Q 12  report the actual result was reported as 1110 however upon vvertifcation and validation of reports , the DYS focal person made a mistake in reporting and made a double reporting both the ToT &amp; Cascade training. However after segregation of the reports it is found that the TOT through the Global Fund supports as of now from the 5 districts stand at 395teachers. in the phase 1 they have trained 269 teachers and in the year 3 they have trained 126 teachers which adds up to cumulatively 395 TEACHERS. In the year year they are now planning to train about 220 teachers in the month of january 2012</t>
  </si>
  <si>
    <t xml:space="preserve">The reporting templates have been developed for the SR's to reports on the activties. However, the SR's are not using the templates consistently. The report should be submitted on agreed reporting format. The focal persons from each SR should be trained to report using the new format </t>
  </si>
  <si>
    <t>We noted that the coordination between PMT, NACP &amp; SRs has improved and regular quarterly meeting is taking place. Nevertheless, the SRs continue to underperform and there is delay in submission of preogress reports</t>
  </si>
  <si>
    <t>During the reporting period one indicator “Number of people with advanced HIV infection currently receiving antiretroviral therapy” achieved only 69% of the target. We noted that the program has started using the new criteria for starting treatment as recommended by WI-IO which is to start ART with a CD4 count of 350. We have been informed that the treatment manual has been revised to incorporate this new recommendation and is now ready for printing. Officially the implementation of new treatment criteria has been initiated, but the awareness among the service providers and people living with HIV (PLWHIV) is not optimum. We would like to request NACP to initiate the awareness among the service providers and PLWHIV</t>
  </si>
  <si>
    <t>During the reporting period a high number for achievement has been reported for the indicator ‘Number of most at risk individuals reached with education materials (primarily substance users and sex workers)’. We would like to request your good office to share the information with the Global Fund on the mapping of MARP.</t>
  </si>
  <si>
    <t>The analysis of cumulative variances from Q9 to Q14 shows that there is still a need for strengthening the ñnance management for this grant. There are instances, where expenditure overshoot budget and the NACP is not fully aware of this situation. In case the variances are known, they are not in a position to give proper explanations and justifications. The Global Fund provided training for finance personnel in 2010. We would like to request your good office to look into this and request the PMT for better coordination with finance and program units.</t>
  </si>
  <si>
    <t>Surveillance strategy has not included armed forces personnel as one of the target groups although they are one of the high risk groups. We would like to encourage both NACP and PMT to initiate the discussion of inclusion of armed forces in the surveillance strategy. We would like to request your good  to discuss this issue with armed forces. In addition, the technical partners (WHO, UNAIDS) can be also be consulted.</t>
  </si>
  <si>
    <t>Reporting on most at risk individuals reached with education materials needs to be improved. Data is not segregated according to risk groups. All people who visit the HISC's are reported as most at risk individuals. We would recommend the program to strengthen the reporting system and segregate data accordingly. This would help the program to design an effective implementation</t>
  </si>
  <si>
    <t>Capacity of the PHPM needs to be strengthened. The Program unit (NACP) and the DVED should coordinate on regular basis for procurement. In this case PMT needs to be more proactive for an effective coordination.</t>
  </si>
  <si>
    <t xml:space="preserve">Targets In reference to the indicator ‘Number of teachers trained on life skill based HIV/AIDS education’ have been overachieved. We have been informed that the result was not correctly reported for this indicator. We would like to request NACP to segregate the training data and report with the Progress Update for the Quarter 15. In addition, we would also like to request to review the results for other training related indicators and conñrm the accuracy of the reported result. No disbursement for training will be made until the correct results are submitted. </t>
  </si>
  <si>
    <t>The reporting template have been developed in microsoft access , the SR s were trained on the reporting tool in June 2011 at Paro. However the tool was first piloted and there were feedbacks on the tool. Now with the incorporation of the feed back from the SR , the tool have been re designed to meet the gound requirements. The PMT is planning to once again train the SR's on the usgae of the tools and from Q16, all the SR will report on the new tool. But some time SRS themselves are non complaint but PMT will find measures for them to report on time</t>
  </si>
  <si>
    <t xml:space="preserve">Some of the SR's that underperform include BCCI and army. This is mainly because of the fact that they are not part of government entity and becomes difficult to get them to implement the work plan. We requested the CCM oversight committee to make an intervantion and a comprehensive review and analysis was carried out. The main reason in SR is also due to shortages of HR to implement the activties and due to different financial regulations they reports are incomplete and had to be sent to SRs time and again for complete documenttion and thus in the process the implementation is delayed. GF is their secondary responsibility and thus they give less importance to the implementation </t>
  </si>
  <si>
    <t xml:space="preserve">As of now 395 teachers were trained as TOT on LSE in the 5 districts of samtse, pemagatsel , sarpang, Gasa &amp;dagana. From  the Q 12  report the actual result was reported as 1110 however upon vvertifcation and validation of reports , the DYS focal person made a mistake in reporting and made a double reporting both the ToT &amp; Cascade training. However after segregation of the reports it is found that the TOT through the Global Fund supports as of now from the 5 districts stand at 395teachers. in the phase 1 they have trained 269 teachers and in the year 3 they have trained 126 teachers which adds up to cumulatively 395 TEACHERS. The results have been segregated and only the TOT is being reported for the purpose of reporting to Global Fund. We have also been able to seggregate the indicators reported through donors such as UNFPA who also funded this activity </t>
  </si>
  <si>
    <t>PMT ensures that henceforth there will be enhanced coosrindation between the NACP, PMT &amp; Finance unit through the involvement of the finance personnel during the quarterly PR -SR coordination meeting and keep the finance personnel on the loop</t>
  </si>
  <si>
    <t>Number of Most at Risk individuals reached with  HIV education materials (primary substance users and sex workers)</t>
  </si>
  <si>
    <t xml:space="preserve">The up gradation of new CD4 requirement from 200 to 350 has been discussed with the service providers. Departmental meetings were also held with the service providers including Medical specialists, Gynecologists, pediatricians and pharmacists. Based on the recommendation of the meeting, new guidelines were distributed to all the 20 district hospitals and 3 referral hospitals with office memo to adhere with new CD4 requirement. During the meeting Lhak-Sam was also in picture and PLHIV community is well aware of the new requirement and the frequency of CD4 monitoring. 
</t>
  </si>
  <si>
    <t xml:space="preserve">NACP  has now included the armed forces under the surveillance strategy </t>
  </si>
  <si>
    <t>In all the PR -SR quarterly meeting an effort is made to engage the DVED staffs to attend the meeting, however due to too thinly stretched staffs they have not been able to make to several meetings. Henceforth in the Q15 meeting, PMT will ensure that DVED staffs are attending the regular meetings and if need be set aside other emergency meetings also.</t>
  </si>
  <si>
    <t xml:space="preserve">This indicators is collected through the quarterly VCT reports, where the district health officer compiles the report every quarter and submits to the NACP. If we review the form carefully, there is data segregation on MARPs which include the CSW, MSM &amp; IDU. However in VCT form armed forces and migrant workers have also been recoreded under the MARPs. But when PMT reports to Global Fund we donot include the armed forces and migrant workers, we only compile the traditional MARPs globally defined and accepted. As a measure to review the data from the VCT centers, M&amp;E visit to supervise the quality of data is planned to be jointly carried out by PMT &amp; NACP in the month of January 2012 and we would expect that we get seggregated data on MARP's . Also the HISC maintian a register when they reach out to the MARPs through advocacy </t>
  </si>
  <si>
    <t>NACP has conducted a rapid assessment in the form of mapping of the MARPS such as the CSW and IDU , this report is available and the information on the mapping on the MARPS will be shared with the Global Fund as requested</t>
  </si>
  <si>
    <t xml:space="preserve">The overall performance is satsifactory during the reporting quarter </t>
  </si>
  <si>
    <t>This is not due for reporting and will be reported after the second KAP survey which is scheduled to be done in the fifth (2012) year of the project. The baseline data as per the 2009 KAP survey shows that 47 % of out of school youth aged 15-24 years reported the consistent use of condoms.</t>
  </si>
  <si>
    <t>This is not due for reporting and will be reported after the second KAP survey which will be done in the fifth (2012) and last year of the project. Baseline data from the 2009 KAP survey shows that 53 % of uniformed personnel reported consistent use of condoms with non regular sexual partner.</t>
  </si>
  <si>
    <t xml:space="preserve">As per the PF, sentinel survey is to be conducted on a yearly basis in 2010 (Year 3), 2011 (Year 4) &amp; 2012 (Year 5). However, the PR has not been able to conduct the survey in Year 3 because of lack of funds. A new surveillance strategy (draft titled: STI and HIV/AIDS Surveillance Strategy for Bhutan 2010-2013) has been developed, which outlines the strategy of collecting and managing the data on prevalence and risk behavior of different population groups. The data collected will be comparable with the baseline information of 2007. 
The PR expects to undertake the survey in the next quarter and report on the results. Since funds are available it will not be difficult for the PR to undertake this acitvity and so it is expected that the results will be reported in the beginning of 2012. The current prevalence  is reported as 0.2 % with a range of 0.1-0.3 % in 2009 (Source UNAIDS 2009), however this needs to be confirmed through the next  surveillance report. 
</t>
  </si>
  <si>
    <t>As per the PF, sentinel survey is to be conducted on a yearly basis for 2010, 2011 &amp; 2012. However, the PR has not been able to conduct the survey as per schedule in 2010 because of lack of funds. A new surveillance strategy (draft titled: STI and HIV/AIDS Surveillance Strategy for Bhutan 2010-2013) has been developed which incorporates sero behavior surveillance among drug users, transport workers and sex workers. Surprisingly armed forces personal have not been included in the group although the focus of this impact indicator and the target in the PF is directed towards armed forces. PR has been advised to include armed forces in the strategy.
The PR expects to undertake the survey in the next quarter and report on the results. Since funds are available, it will not be difficult for the PR to undertake this acitvity and it is expected that the results will be reported in the beginning of 2012. The current prevalence is reported as less than 0.1 % (Source UNAIDS, 2009), however this needs to be confirmed through valid reports.</t>
  </si>
  <si>
    <t>PR on site visit</t>
  </si>
  <si>
    <t xml:space="preserve">NA as survey was not done </t>
  </si>
  <si>
    <t>Not due for reporting</t>
  </si>
  <si>
    <r>
      <rPr>
        <b/>
        <sz val="11"/>
        <rFont val="Arial"/>
        <family val="2"/>
      </rPr>
      <t>No target has been set for this indicator. Here results are not due for reporting. Results are not cumulative</t>
    </r>
    <r>
      <rPr>
        <sz val="11"/>
        <rFont val="Arial"/>
        <family val="2"/>
      </rPr>
      <t xml:space="preserve">
The target set is at 60% and the result is due to be reported by quarter ending (Q19) in October 2012, which should result from another KAP survey in 2012.
As per the KAP survey report of 2009, 45 % of young people in schools correctly identified ways of preventing HIV AIDS. This is much lower than that reported for university students and out of school youths (&gt;60 %) however the criteria used in the KAP survey was more stringent (knowledge on all five indicators as used in the survey) and this could be the reason for reporting the low knowledge among school youth. There are 66,212 students studying in classes IX-XII which is an approximate number of young people 15-24 years of age.</t>
    </r>
  </si>
  <si>
    <t>PR On-site Visit</t>
  </si>
  <si>
    <t xml:space="preserve">Not due for reporting  </t>
  </si>
  <si>
    <r>
      <t>C</t>
    </r>
    <r>
      <rPr>
        <b/>
        <sz val="11"/>
        <rFont val="Arial"/>
        <family val="2"/>
      </rPr>
      <t xml:space="preserve">umulative achievement: 105 % Cumulative actual/target 22,846/21,850.  This result shows over-achievement. Results reported over program term. </t>
    </r>
    <r>
      <rPr>
        <sz val="11"/>
        <rFont val="Arial"/>
        <family val="2"/>
      </rPr>
      <t xml:space="preserve">
The PR has undertaken a review of the reported results and accordingly revised the figures for people reached in out of school setting. As pointed out by the LFA, only those people who are not in school and reached by the NFE centers is included. Accordingly it has been found that a total of 17,047 people were reached during phase 1 and a further 4,525 people were reached in year 3. Since most of these people were reached during World AIDS day celebration, the possibility of same people being repeatedly counted is still present, although it will be difficult to verify. The PR has also categorized people reached according to age (15-24 years) which is not in line with the PF. Reaching out to this group of young people is not appropriate because most of the out of school people are likely to be above 25 years of age especially in the NFE setting. Imparting HIV education to all NFE learners will be more appropriate. 
The Ministry of Labour and Human Resources (MoLHR) is the other SR which has reached 1,274 new graduates with HIV awareness in year 3. The total number of people reached in out of school setting is thus 22,846. The targets have been reached. 
The target is underestimated because there is a potentital of reaching more people as specified in the PF such as vocational training institutes and job seekers. The MoLHR should give more effort in reaching out to this group of people in out of school setting.  
</t>
    </r>
    <r>
      <rPr>
        <b/>
        <sz val="11"/>
        <rFont val="Arial"/>
        <family val="2"/>
      </rPr>
      <t>Source of information</t>
    </r>
    <r>
      <rPr>
        <sz val="11"/>
        <rFont val="Arial"/>
        <family val="2"/>
      </rPr>
      <t xml:space="preserve">: Quarterly reports submitted by Non Formal Division, Ministry of Education (SR), Interview with PMT.
</t>
    </r>
  </si>
  <si>
    <r>
      <rPr>
        <b/>
        <sz val="11"/>
        <rFont val="Arial"/>
        <family val="2"/>
      </rPr>
      <t>Cumulative achievement: 92 %. Cumulative actual/target 816/887.  This result shows under-achievement. This is one of the top ten (training) indicators. Results reported over program term.</t>
    </r>
    <r>
      <rPr>
        <sz val="11"/>
        <rFont val="Arial"/>
        <family val="2"/>
      </rPr>
      <t xml:space="preserve">
No new instructors were trained in this quarter and the results are the same as reported for the previous quarters. Although the targets has not been reached, the PR has carried out refresher training for majority of trainers and has also trained 99 principals. The number of existing NFE centers in the country as reported in the previous quarter is currently 894 centers with 913 Instructors (Source of information: Telephonic interview with SR) and not 816 as reported by the PR. It is expected that the SR will train the new NFE instructors in the next quarter. The target is expected to be reached.
</t>
    </r>
    <r>
      <rPr>
        <b/>
        <sz val="11"/>
        <rFont val="Arial"/>
        <family val="2"/>
      </rPr>
      <t>Source of Information</t>
    </r>
    <r>
      <rPr>
        <sz val="11"/>
        <rFont val="Arial"/>
        <family val="2"/>
      </rPr>
      <t xml:space="preserve">: Intervewwith PMT manager, reports submitted by the SR.
</t>
    </r>
  </si>
  <si>
    <r>
      <rPr>
        <b/>
        <sz val="11"/>
        <rFont val="Arial"/>
        <family val="2"/>
      </rPr>
      <t>Cumulative achievement 134%. Cumulative actual/target 1,442/880. This result shows overachievement. Results are reported over program term.</t>
    </r>
    <r>
      <rPr>
        <sz val="11"/>
        <rFont val="Arial"/>
        <family val="2"/>
      </rPr>
      <t xml:space="preserve">
In this quarter no additional transport workers were reached and the results are the same as that reported in Q13. The targets have already been reached for year 4. Transport workers are one of the high risk groups and the success of this activity is expected to reduce the risks among this group. The effectiveness of this program on the transport workers will be seen from the sero-behavior surveillance to be conducted annually in year 4 &amp; 5. There are sudden increases in purchase of trucks and Lorries in Bhutan due to hydro-power constructions which has increased the number of transport workers (drivers and assistant). PR has included all the volunteers to partake in the awareness which has increase the target reached. The target set was based on the 2009 data provided by Road Safety and Transport Authority. However there is not much budget implication as same resource persons were used with larger audiences.
</t>
    </r>
  </si>
  <si>
    <r>
      <rPr>
        <b/>
        <sz val="11"/>
        <rFont val="Arial"/>
        <family val="2"/>
      </rPr>
      <t>Cumulative achievement: 57 %.  Cumulative actual/target 142/250. This result shows underachievement. Results reported are cumulative over program term.</t>
    </r>
    <r>
      <rPr>
        <sz val="11"/>
        <rFont val="Arial"/>
        <family val="2"/>
      </rPr>
      <t xml:space="preserve">
As per the recommendations the PR has finally included only those people who are high risk in reporting the results in this quarter. A total of 22 people (15 commercial sex workers-CSW, 2 intravenous drug users and 5 clients of sex workers) were reached by the health inforamtion centers. The revised total is thus 142 most ar risk population (MARP) reached with HIV education material. 
There is still under reporting because the target group (Drug users and sex workers) remains largely hidden and there is very little information on the actual numbers. Nevertheless the PR should undertake more active measures to reach out to this group using peers and through contact tracing to achieve the targets.
</t>
    </r>
    <r>
      <rPr>
        <b/>
        <sz val="11"/>
        <rFont val="Arial"/>
        <family val="2"/>
      </rPr>
      <t>Source of Information</t>
    </r>
    <r>
      <rPr>
        <sz val="11"/>
        <rFont val="Arial"/>
        <family val="2"/>
      </rPr>
      <t>: Quarterly report submitted by HISC to PMT; Interview with Project Manager PMT.</t>
    </r>
    <r>
      <rPr>
        <sz val="11"/>
        <color indexed="10"/>
        <rFont val="Arial"/>
        <family val="2"/>
      </rPr>
      <t xml:space="preserve"> 
</t>
    </r>
  </si>
  <si>
    <r>
      <rPr>
        <b/>
        <sz val="11"/>
        <rFont val="Arial"/>
        <family val="2"/>
      </rPr>
      <t>Cumulative achievement: 103 % Cumulative actual/target 17,461/17,000.  The target is nearly achieved. This is one of the top ten (training) indicators. Results reported over program term.</t>
    </r>
    <r>
      <rPr>
        <sz val="11"/>
        <rFont val="Arial"/>
        <family val="2"/>
      </rPr>
      <t xml:space="preserve">
In this quarter the Royal Bhutan Army (RBA) has reached 2,516 soldiers and their families in 7 army wings across the country. The awareness campaigns are conducted by personnel from the Army Medical Unit based in Thimphu. As reported during the OSDV, the reporting by the SR is irregular and difficult to verify because of sensitive information. The targets have been reached. The variance is the result of mathematical error as reported in Q 9 (Feb-Apr 2010).  
No reports of awareness campaigns by the Royal Bhutan Police and Royal Body Guards in this quarter. 
</t>
    </r>
    <r>
      <rPr>
        <b/>
        <sz val="11"/>
        <rFont val="Arial"/>
        <family val="2"/>
      </rPr>
      <t>Source of Information:</t>
    </r>
    <r>
      <rPr>
        <sz val="11"/>
        <rFont val="Arial"/>
        <family val="2"/>
      </rPr>
      <t xml:space="preserve"> Report of RBA submitted to the PMT on 25 June 2011; Review of HIV AIDS booklet for Armed forces developed by RBA; Interview with Project Manager PMT.
</t>
    </r>
  </si>
  <si>
    <t>Desk Review</t>
  </si>
  <si>
    <r>
      <rPr>
        <b/>
        <sz val="11"/>
        <rFont val="Arial"/>
        <family val="2"/>
      </rPr>
      <t xml:space="preserve">Cumulative achievement: 83 % Cumulative actual/target 6,434/7,750. This result shows under-achievement. This is one of the top10 equivalent indicators. Results reported over program term.
</t>
    </r>
    <r>
      <rPr>
        <sz val="11"/>
        <rFont val="Arial"/>
        <family val="2"/>
      </rPr>
      <t xml:space="preserve">
In this quarter no religous persons were reached by HIV education and the results remain the same as reported in the previous quarter. This target has been underachieved. The numbers of monks are large and PR should ensure that the SR conducts this activity on time and that targets are reached. The monks play an important role in Bhutanese communities and can be an important person for advocacy and raising awareness. There are also few monks who have been detected as HIV positives and are therefore included as being at risk. The SR for this activity (Dratshang Lhentshog) has not been reporting this activity in a timely manner and there is limited oversight and monitoring by the PR.
</t>
    </r>
    <r>
      <rPr>
        <b/>
        <sz val="11"/>
        <rFont val="Arial"/>
        <family val="2"/>
      </rPr>
      <t>Source of Information:</t>
    </r>
    <r>
      <rPr>
        <sz val="11"/>
        <rFont val="Arial"/>
        <family val="2"/>
      </rPr>
      <t xml:space="preserve"> Quarterly Report of Dratshang Lhentshog submitted to the PMT; Interview with Project Manager PMT.
</t>
    </r>
  </si>
  <si>
    <r>
      <rPr>
        <b/>
        <sz val="11"/>
        <rFont val="Arial"/>
        <family val="2"/>
      </rPr>
      <t xml:space="preserve">Cumulative achievement: 74 % Cumulative actual/target 63/85.This result shows under-achievement. This is a top ten indicator. Results report cumulative over program term. </t>
    </r>
    <r>
      <rPr>
        <sz val="11"/>
        <rFont val="Arial"/>
        <family val="2"/>
      </rPr>
      <t xml:space="preserve">
In this quarter 4 more people were started on ART taking the total to 63. The program has started using the new criteria for starting treatment as recommended by WHO which is to start ART with a CD4 count of 350.  Although this has been officially implemented, people living with HIV (PLWHIV) and service providers are not aware and not many have come to receive treatment. There are only three centers in the country where CD4 count is done and therefore as PLWHIV come for their tests, more number of them is expected to be identified for starting treatment.  The PR has also ordered the procurement of more anti retroviral medications and is ready to provide treatment to the expected higher numbers. With this the target is expected to be achieved.
</t>
    </r>
    <r>
      <rPr>
        <b/>
        <sz val="11"/>
        <rFont val="Arial"/>
        <family val="2"/>
      </rPr>
      <t>Source of information</t>
    </r>
    <r>
      <rPr>
        <sz val="11"/>
        <rFont val="Arial"/>
        <family val="2"/>
      </rPr>
      <t xml:space="preserve">: Quarterly report submitted by Pharmacy department of JDWNRH (Treatment and care unit for PLHIV) to the NACP. Interview with Program Manager NACP.
</t>
    </r>
  </si>
  <si>
    <t>The PR has not undertaken more oversight activites and this is required for better performance by the SR's. As recommended previously the management of the SR's should come under the NACP rather than the PMT. In addition the NACP should be strengthened with M&amp;E person to undertake supervision and oversight of the SR's.</t>
  </si>
  <si>
    <t>Awareness for this new criteria for starting ART has been undertaken and it is excpected that more people will be put on ART in the coming quarters.</t>
  </si>
  <si>
    <t>The PR has chosen to report only on the teachers who attended the Training of Trainers (ToT) on life skills education. This is nor appropriate because the teachers who are trained as trainers are then expected to return to their school and conduct cascade training. The reported results are thus the total number of teachers who are trained in imparting LSE and this is correct. 
However the PR has included  even teachers who teach grade 6 and below in the total and this is not in line with the PF where the target is to reach out to teachers who teach grade 7 and above. Excluding this group of teachers from the total will give more accurate results.</t>
  </si>
  <si>
    <t>The Army has been included in the surveillance strategy</t>
  </si>
  <si>
    <t>PR has started to report correctly on this indicator from this quarter.</t>
  </si>
  <si>
    <r>
      <rPr>
        <b/>
        <sz val="11"/>
        <rFont val="Arial"/>
        <family val="2"/>
      </rPr>
      <t xml:space="preserve">Cumulative achievement: 149 % Cumulative actual/target 42,230/28,400. This result shows over-achievement. This is one of the top ten indicators. Results report cumulative over program term.
</t>
    </r>
    <r>
      <rPr>
        <sz val="11"/>
        <rFont val="Arial"/>
        <family val="2"/>
      </rPr>
      <t xml:space="preserve">
In this quarter, 3,744 people (990 males and 2754 females) were counseled, tested and provided with results. The high number of females is because of testing during pregnancy which is offered to all pregnant women. The target for this activity is over achieved as it is a routine activity carried out at all hospitals including the Health Information Service Centers (HISC) and is routinely reported by all VCT health centers. 
The PR has reported the same figure as last quarter and has not added the new figures as reported by the NACP. The achievement of 149 % as compared to the target. The target has been underestimated  The target was set in 2009 based on the experience of the revious year (2008) and is underestimated. However, there is not much budget implication as the same health workers do it routinely. 
</t>
    </r>
    <r>
      <rPr>
        <b/>
        <sz val="11"/>
        <rFont val="Arial"/>
        <family val="2"/>
      </rPr>
      <t>Source of information</t>
    </r>
    <r>
      <rPr>
        <sz val="11"/>
        <rFont val="Arial"/>
        <family val="2"/>
      </rPr>
      <t xml:space="preserve">: Quarterly VCT report compiled by the NACP, Interview with Program manager NACP.
</t>
    </r>
  </si>
  <si>
    <t>number of people reached in out of school setting must be conducted more activiely by SR</t>
  </si>
  <si>
    <t>Number of monks and nuns reached with HIV awareness must be accelerated</t>
  </si>
  <si>
    <t>Objectives / Service Delivery Areas (SDAs)</t>
  </si>
  <si>
    <t>FMA (Q13)</t>
  </si>
  <si>
    <t>MJJ (Q14)</t>
  </si>
  <si>
    <t>ASO (Q15)</t>
  </si>
  <si>
    <t>Analysis of Cu variance up to Q15 end</t>
  </si>
  <si>
    <t>EXP.</t>
  </si>
  <si>
    <t>Budget</t>
  </si>
  <si>
    <t>Expenditure</t>
  </si>
  <si>
    <t>CU. Budget</t>
  </si>
  <si>
    <t>CU. Exp.</t>
  </si>
  <si>
    <t>Cu. Variance</t>
  </si>
  <si>
    <t>% Variance</t>
  </si>
  <si>
    <t>DYS</t>
  </si>
  <si>
    <t>1.1.1</t>
  </si>
  <si>
    <t>TOT on Life Skill Education in 3 regions (Western, Central,Southern ) - 5 days training program each for region</t>
  </si>
  <si>
    <t>i. PA wirless meeting amplifier to be sent to schools</t>
  </si>
  <si>
    <t>ii. Audio visual materials on HIV/AIDs for Schools</t>
  </si>
  <si>
    <t>iii. TV for schools</t>
  </si>
  <si>
    <t>iv. DVD player for school</t>
  </si>
  <si>
    <t>v. Digital camera for CSHP</t>
  </si>
  <si>
    <t>1.1.2</t>
  </si>
  <si>
    <t>Support to TOT in the implementation of further training of teachers in their communities/districts (5-day training).</t>
  </si>
  <si>
    <t>The variance is immaterial</t>
  </si>
  <si>
    <t>Support to ToT in the implementation of further training of teachers in their communities/districts</t>
  </si>
  <si>
    <t xml:space="preserve">This activity has been deferred to Q16 coinciding with the winter vacation as per the policy of the ministry of education </t>
  </si>
  <si>
    <t>Attend regional GFATM meetings</t>
  </si>
  <si>
    <t>Training of Focal person in Project management</t>
  </si>
  <si>
    <t>1.1.3</t>
  </si>
  <si>
    <t>Purchase of Television &amp; DVD for the schools. - 30 sets required</t>
  </si>
  <si>
    <t>The excess expenditure resulted from implementing Phase I spill over activities in Q9.</t>
  </si>
  <si>
    <t>1.1.4</t>
  </si>
  <si>
    <t>Purchase of sound syetem (Ahuja)</t>
  </si>
  <si>
    <t>1.1.5</t>
  </si>
  <si>
    <t>Purchase of LCD Projector with desktop computer</t>
  </si>
  <si>
    <t>1.1.6</t>
  </si>
  <si>
    <t>Sound proofing of the Auditorium</t>
  </si>
  <si>
    <t>1.1.7</t>
  </si>
  <si>
    <t>Purchase of wall mounted projector scerr 119"</t>
  </si>
  <si>
    <t>1.1.8</t>
  </si>
  <si>
    <t>Purchase of Plasma TV</t>
  </si>
  <si>
    <t>1.1.9</t>
  </si>
  <si>
    <t>1.1.10</t>
  </si>
  <si>
    <t xml:space="preserve">SDA 1.2: Providing life-skills-based HIV/AIDS education </t>
  </si>
  <si>
    <t>1.2.1</t>
  </si>
  <si>
    <t>Development &amp; Printing of educational materials(TLM- teaching learning materials)</t>
  </si>
  <si>
    <t>NFE</t>
  </si>
  <si>
    <t>1.2.2</t>
  </si>
  <si>
    <t>Training of Teachers/Principals</t>
  </si>
  <si>
    <t>1.2.3</t>
  </si>
  <si>
    <t>Training employees of MOLHR</t>
  </si>
  <si>
    <t>Community activities by youth NFE learners</t>
  </si>
  <si>
    <t>1.2.4</t>
  </si>
  <si>
    <t>GFATM meeting not yet attended</t>
  </si>
  <si>
    <t>1.2.5</t>
  </si>
  <si>
    <t>Refresher ToT for Vocational Centre teachers</t>
  </si>
  <si>
    <t>The variance is im-material</t>
  </si>
  <si>
    <t>1.2.6</t>
  </si>
  <si>
    <t>Sensitization of unemployed youths and job seekers during the job fairs and NGOP</t>
  </si>
  <si>
    <t>1.2.7</t>
  </si>
  <si>
    <t>1.2.8</t>
  </si>
  <si>
    <t>M &amp; E</t>
  </si>
  <si>
    <t xml:space="preserve">SDA 1.3: Reaching youth through the private sector </t>
  </si>
  <si>
    <t>1.3.1</t>
  </si>
  <si>
    <t>Sensitization of private sectors in 5 towns</t>
  </si>
  <si>
    <t>BCCI</t>
  </si>
  <si>
    <t>1.3.2</t>
  </si>
  <si>
    <t>Printing of education materials and products</t>
  </si>
  <si>
    <t>Activity is on-going</t>
  </si>
  <si>
    <t>1.3.3</t>
  </si>
  <si>
    <t xml:space="preserve">Ex-country training for the focal person on HIV programming </t>
  </si>
  <si>
    <t>The variance not material</t>
  </si>
  <si>
    <t>1.3.4</t>
  </si>
  <si>
    <t xml:space="preserve">Ex-change of experience among private sectors </t>
  </si>
  <si>
    <t>Quarterly Exchange of experience</t>
  </si>
  <si>
    <t>SDA 1.4: Establishing youth-friendly health services in 30 hospitals</t>
  </si>
  <si>
    <t>1.4.1</t>
  </si>
  <si>
    <t>Training/refresher of staff about youth-issues</t>
  </si>
  <si>
    <t>NACP</t>
  </si>
  <si>
    <t>1.4.2</t>
  </si>
  <si>
    <t>Telephone line charges</t>
  </si>
  <si>
    <t>1.4.3</t>
  </si>
  <si>
    <t>Ex-country training for Youth-hotline staff</t>
  </si>
  <si>
    <t>WHO Guidelines</t>
  </si>
  <si>
    <t>1.4.7</t>
  </si>
  <si>
    <t>Training HIV core Team at JDWNRH</t>
  </si>
  <si>
    <t>SDA 1.5: Intensifying HIV prevention among 10,000 uniformed personnel and their families</t>
  </si>
  <si>
    <t>1.5.1</t>
  </si>
  <si>
    <t>Development and Printing of HIV information package</t>
  </si>
  <si>
    <t>RBG/RBP</t>
  </si>
  <si>
    <t>Excess budget utilized from other printing budget (SDA 1.3.2)</t>
  </si>
  <si>
    <t>1.5.2</t>
  </si>
  <si>
    <t>Capacity building of women  police volunteers</t>
  </si>
  <si>
    <t>1.5.3</t>
  </si>
  <si>
    <t>Sensitization of staff at different levels by RBP</t>
  </si>
  <si>
    <t>Activity is on-going- SR activity</t>
  </si>
  <si>
    <t>1.5.4</t>
  </si>
  <si>
    <t>Sensitization program for RBA &amp; RBG</t>
  </si>
  <si>
    <t>1.5.5</t>
  </si>
  <si>
    <t>Awareness program in prisons</t>
  </si>
  <si>
    <t>1.5.6</t>
  </si>
  <si>
    <t>Training of instructors from the Military training institutes (RBP, RBG, RBA)</t>
  </si>
  <si>
    <t xml:space="preserve">The activity completed but 14% budget overspent due to new training programs included. </t>
  </si>
  <si>
    <t>1.5.7</t>
  </si>
  <si>
    <t>Attend regional GFATM meetings (for focal persons)</t>
  </si>
  <si>
    <t>PR plans to utilize this budget in subsequent qtrs.</t>
  </si>
  <si>
    <t>1.5.8</t>
  </si>
  <si>
    <t>M &amp; E Survey</t>
  </si>
  <si>
    <t>SDA 1.6: Increasing HIV awareness among members of faith-based organizations</t>
  </si>
  <si>
    <t>1.6.1</t>
  </si>
  <si>
    <t>Cascade Training for Shedras/Lobdras/ community religious practitioners</t>
  </si>
  <si>
    <t>DRATSHANG</t>
  </si>
  <si>
    <t>1.6.2</t>
  </si>
  <si>
    <t>Purchase of 1 laptop and 1 projector</t>
  </si>
  <si>
    <t>Attend regional meetings/training program</t>
  </si>
  <si>
    <t>1.6.3</t>
  </si>
  <si>
    <t>Exchange programme</t>
  </si>
  <si>
    <t>1.6.4</t>
  </si>
  <si>
    <t>Annual review meeting</t>
  </si>
  <si>
    <t>SDA 1.7: Providing services for CSWs, IDUs, and MSMs through NGOs</t>
  </si>
  <si>
    <t>1.7.1</t>
  </si>
  <si>
    <t>IDU outreach services through sub grantee community organization</t>
  </si>
  <si>
    <t>1.7.2</t>
  </si>
  <si>
    <t>SW outreach services through sub grantee community</t>
  </si>
  <si>
    <t>SDA 1.8: Expanding prevention packages to the BHU and the community level with CT services to two additional VCT centers, 176 BHUs and 16 army health units</t>
  </si>
  <si>
    <t>1.8.1</t>
  </si>
  <si>
    <t>Rent two VCT centres</t>
  </si>
  <si>
    <t>On-going activity</t>
  </si>
  <si>
    <t>Training refresher training of two Health worker from each facility</t>
  </si>
  <si>
    <t>1.8.2</t>
  </si>
  <si>
    <t>Procurement of computers &amp; printers for the two VCT centers</t>
  </si>
  <si>
    <t>Expenditure exceeded budget du to price escalation.</t>
  </si>
  <si>
    <t>1.8.3</t>
  </si>
  <si>
    <t>Test kits and vacutainers</t>
  </si>
  <si>
    <t>1.8.4</t>
  </si>
  <si>
    <t>Procurement of CD4 reagenst</t>
  </si>
  <si>
    <t>Expenditure exceeded budget due to price escalation.</t>
  </si>
  <si>
    <t>1.8.6</t>
  </si>
  <si>
    <t>Printing of IEC materials on HIV and VCT</t>
  </si>
  <si>
    <t>Purchase of Elisa Readers</t>
  </si>
  <si>
    <t>The excess expenditure resulted from implementing Phase I spill over activities.</t>
  </si>
  <si>
    <t>Refresher training for village health workers</t>
  </si>
  <si>
    <t>The activity is on-going at the time of review</t>
  </si>
  <si>
    <t>Refurbishment of VCT Centres</t>
  </si>
  <si>
    <t>1.8.10</t>
  </si>
  <si>
    <t>Ex-country training of councilors</t>
  </si>
  <si>
    <t>SDA 1.9 IEC activities</t>
  </si>
  <si>
    <t>1.9.1</t>
  </si>
  <si>
    <t>Consultative meeting to develop IEC materials for vulnerable groups</t>
  </si>
  <si>
    <t>The excess expenditure resulted from implementing Phase I spill over activities in Q9, However, the absolute amount is not substantial.</t>
  </si>
  <si>
    <t>1.9.2</t>
  </si>
  <si>
    <t>Field testing of the materials</t>
  </si>
  <si>
    <t>The excess expenditure resulted from implementing Phase I spill over activities in Q9 &amp; Q13</t>
  </si>
  <si>
    <t>1.9.3</t>
  </si>
  <si>
    <t>Printing of materials for vulnerable groups</t>
  </si>
  <si>
    <t>Pending bills to clear at the time of LFA review.</t>
  </si>
  <si>
    <t>1.9.4</t>
  </si>
  <si>
    <t>Sensitization and Breifing to the Media personnel on HIV/AIDS issues</t>
  </si>
  <si>
    <t>1.9.5</t>
  </si>
  <si>
    <t>Undertake supervision and monitoring visits</t>
  </si>
  <si>
    <t>1.9.6</t>
  </si>
  <si>
    <t>SDA 2.1: Strengthening STI/HIV/AIDS pre-service training and continuous education at the Royal Institute of Health Sciences.</t>
  </si>
  <si>
    <t>2.1.1</t>
  </si>
  <si>
    <t>Build up library resources</t>
  </si>
  <si>
    <t>RIHS</t>
  </si>
  <si>
    <t>Budget reappropriated for activity 2.1.4 .</t>
  </si>
  <si>
    <t>2.1.2</t>
  </si>
  <si>
    <t>Faculty development - continuning education for lecturers on STI &amp; HIV/AIDS</t>
  </si>
  <si>
    <t>2.1.3</t>
  </si>
  <si>
    <t>Attend Global Fund meeting</t>
  </si>
  <si>
    <t>2.1.4</t>
  </si>
  <si>
    <t xml:space="preserve">Refurbishment of classrooms  </t>
  </si>
  <si>
    <t>The excess expenditure met from SDA 2.1.1.</t>
  </si>
  <si>
    <t xml:space="preserve">SDA 2.2:  Strengthening national capacity for programme monitoring and evaluation </t>
  </si>
  <si>
    <t>2.2.1</t>
  </si>
  <si>
    <t>Hire M&amp;E consultant in MOH</t>
  </si>
  <si>
    <t>Budget reappropriated for activity 1.9.6.</t>
  </si>
  <si>
    <t>2.2.2</t>
  </si>
  <si>
    <t>Master in epidemiology</t>
  </si>
  <si>
    <t>2.2.3</t>
  </si>
  <si>
    <t>2.2.4</t>
  </si>
  <si>
    <t>Send program staff to international forum for information exchange and attend regional meetings of GFATM</t>
  </si>
  <si>
    <t>2.2.5</t>
  </si>
  <si>
    <t xml:space="preserve">Training one support staff from NACP on data punching, record keeping </t>
  </si>
  <si>
    <t>Variance not material.</t>
  </si>
  <si>
    <t>2.2.6</t>
  </si>
  <si>
    <t>Quarterly meeting of stakeholders</t>
  </si>
  <si>
    <t>2.2.10</t>
  </si>
  <si>
    <t>PCM meeting</t>
  </si>
  <si>
    <t>2.2.13</t>
  </si>
  <si>
    <t>KAP Survey</t>
  </si>
  <si>
    <t>SDA 2.3:  Strengthening the management and technical capacity of the NACP</t>
  </si>
  <si>
    <t>2.3.1</t>
  </si>
  <si>
    <t>Diploma in finance management of HIV/AIDS project</t>
  </si>
  <si>
    <t>PR is required to explain for excess expenditure.</t>
  </si>
  <si>
    <t>2.3.2</t>
  </si>
  <si>
    <t xml:space="preserve">Building a local pool of expertise in key technical areas </t>
  </si>
  <si>
    <t>SDA 2.4:  Building the capacity of non-govermental sectors as partner in the national HIV/AIDS response</t>
  </si>
  <si>
    <t>2.4.1</t>
  </si>
  <si>
    <t>Exchange programme for PLHA</t>
  </si>
  <si>
    <t>2.4.2</t>
  </si>
  <si>
    <t>Training people living with HIVAIDS</t>
  </si>
  <si>
    <t>2.4.4</t>
  </si>
  <si>
    <t>Workshop</t>
  </si>
  <si>
    <t>SDA 3. Ensuring care &amp; treatment</t>
  </si>
  <si>
    <t xml:space="preserve">Procurement of ARVs </t>
  </si>
  <si>
    <t>Complete payments for procurement of ARV is not released at the time of this review.</t>
  </si>
  <si>
    <t>TOTAL PROGRAM COSTS</t>
  </si>
  <si>
    <t>Phase 1 (Q1-8)</t>
  </si>
  <si>
    <t>SR</t>
  </si>
  <si>
    <t>Cumulative budget at end of Q8 (Phase 1)</t>
  </si>
  <si>
    <t>Cumulative expenditure at end of Q8 (Phase 1)</t>
  </si>
  <si>
    <t>Cumulative variance at end of Q8 (Phase 1)</t>
  </si>
  <si>
    <t>Q14 budget implemented in Q15.</t>
  </si>
  <si>
    <t>Budget Implemented in Q14.</t>
  </si>
  <si>
    <t>Implementation of this budget is planned in Q16.</t>
  </si>
  <si>
    <t>This activity is quarterly budget. The excess expenditure is met from Q16 budget provision.</t>
  </si>
  <si>
    <t>Activity is on-going by the SR.</t>
  </si>
  <si>
    <t>The activity was on-going at the time of this review. Only part payment is captured in this review report.</t>
  </si>
  <si>
    <t>Excess expenditure met from the budget provided in the previous quarters (refer cumulative variance analysis in Annexure D).</t>
  </si>
  <si>
    <t>The activity is on-going at the time of this reciew. Only part payment is recorded in this quarter..</t>
  </si>
  <si>
    <t>Long term training budget provided in previous quarters.</t>
  </si>
  <si>
    <t>The activity is on-going at the time of this reciew. Only part payment to the consultant is recorded.</t>
  </si>
  <si>
    <t>Expenditure exceeded budget by 10%. The amount is not materially significant in the opinion of the LFA.</t>
  </si>
  <si>
    <t>Year 5 budget (Q17 &amp; Q18) implemented in Q15.</t>
  </si>
  <si>
    <t>FMA (Q9)</t>
  </si>
  <si>
    <t>MJJ (Q10)</t>
  </si>
  <si>
    <t>BUDGET</t>
  </si>
  <si>
    <t>ASO (Q11)</t>
  </si>
  <si>
    <t>NDJ (Q12)</t>
  </si>
  <si>
    <t>Cash Flow Statement</t>
  </si>
  <si>
    <t>Ex. Rate</t>
  </si>
  <si>
    <t>Opening Balance at DPA</t>
  </si>
  <si>
    <t>Opening Bank MOH</t>
  </si>
  <si>
    <t>Total Inflow - A</t>
  </si>
  <si>
    <t xml:space="preserve">Actual expenditure for the period (PR) </t>
  </si>
  <si>
    <t>Actual expenditure for the period (SR)</t>
  </si>
  <si>
    <t>Total Outflow - B</t>
  </si>
  <si>
    <t>Balance (A-B)</t>
  </si>
  <si>
    <t>Total Fund available at the end of reporting period</t>
  </si>
  <si>
    <t>Details</t>
  </si>
  <si>
    <t>Represented by:</t>
  </si>
  <si>
    <t>ANNEXURE B: SOURCES AND APPLICATION OF FUND (Q15_ASO_2011)</t>
  </si>
  <si>
    <t xml:space="preserve">SDA </t>
  </si>
  <si>
    <t>Phase 2 (Q9-15)</t>
  </si>
  <si>
    <t>Cumulative expenditure for Q9-15</t>
  </si>
  <si>
    <t>Cumulative budget for Q9-15</t>
  </si>
  <si>
    <t>Cumulative variance for Q9-15</t>
  </si>
  <si>
    <t>Cumulative budget at end of Q15</t>
  </si>
  <si>
    <t>Cumulative expenditure  at end of Q15</t>
  </si>
  <si>
    <t>Cumulative varaince at end of Q15</t>
  </si>
  <si>
    <t>Burn rate at Q15 end</t>
  </si>
  <si>
    <t>% Cumulative variance at end of Q15</t>
  </si>
  <si>
    <t>Cumulative for Phase 1+ (Q9-15) Overall variance</t>
  </si>
  <si>
    <t>Analysis of current vairnace (Q15)</t>
  </si>
  <si>
    <t>Annexure D: Analysis of Cumulative Variances by Line Items from Q9-Q15</t>
  </si>
  <si>
    <t>Annexure C: Line item analysis variance for Q15 (ASO_ 2011)</t>
  </si>
  <si>
    <t>% Budget allocation</t>
  </si>
  <si>
    <t>Expenditure Analysis</t>
  </si>
  <si>
    <t>Total Expenditure</t>
  </si>
  <si>
    <t>Back log Activities</t>
  </si>
  <si>
    <t xml:space="preserve">% Budgeted expenditure </t>
  </si>
  <si>
    <t>% Expenditure related  to back log activities</t>
  </si>
  <si>
    <t>% Varianace</t>
  </si>
  <si>
    <t>Current budget fully or partially implemented for Q15</t>
  </si>
  <si>
    <t>Q15 budget not implemented</t>
  </si>
  <si>
    <t>% Q15 budget fully or partially implemented</t>
  </si>
  <si>
    <t>% Q15 budget not implemented</t>
  </si>
  <si>
    <t xml:space="preserve">Analysis of Budget </t>
  </si>
  <si>
    <t>Total Budget for Q15</t>
  </si>
  <si>
    <t>Budgeted Expenditure- Q15</t>
  </si>
  <si>
    <t>Q17 and Q18 budget implemented in Q15</t>
  </si>
  <si>
    <t>% Year 5 budget (Q17 and Q18) implemented in Q15</t>
  </si>
  <si>
    <t>Budget absorption rate in Q15</t>
  </si>
  <si>
    <t>Analysis of Cumulative Variance (Phase I and II)</t>
  </si>
  <si>
    <t>Nu</t>
  </si>
  <si>
    <t>Cash Outflow (Application of Fund)</t>
  </si>
  <si>
    <t>Cash Inflow (Sources of Fund)</t>
  </si>
  <si>
    <t>Bank Balance of PR</t>
  </si>
  <si>
    <t>Unimplemented due to delay in finalization of PSM plan.</t>
  </si>
  <si>
    <t>% Budget allocation at Q15 end</t>
  </si>
  <si>
    <t>The SR, Deaprtment of Youth Services has postponed this activity to be implemented in Q16.</t>
  </si>
  <si>
    <t xml:space="preserve">Procurement of Audio visual equipment has been delayed by DYS SR) in Q14. However, it is now reprogrammed for implementation in Q16. </t>
  </si>
  <si>
    <t>The opening cash balance has been verified with reference to the closing cash balance reported in Q14 PUDR.</t>
  </si>
  <si>
    <t>The expenditures incurred in Q15 has been verified against payment vouchers which are reocrded in PR's cash book and also verified with reference to monthly trial balances prepared by the PR.</t>
  </si>
  <si>
    <t>Local currency is called NGULTRUM, in short Nu. Exchange rate is determined by the Royal Monetary Authority of Bhutan (RMA) on the date when GF disbursement hits RMA account. The RMA transfers an equivalent local currency into the Royal Government Budget Fund Account.</t>
  </si>
  <si>
    <t>Variance is not material.</t>
  </si>
  <si>
    <t>In Q15, the PR paid for procurement of ARVs (SDA 3.1) amounting to USD 15,425.70.</t>
  </si>
  <si>
    <t>The PR did not implement budget in Q15.</t>
  </si>
  <si>
    <t>LFA verification of expenditures reported in Q15 revealed that all expenditures incurred and reported are in line with GFATM approved budget.</t>
  </si>
  <si>
    <t xml:space="preserve">The overall cumulative burn rate achieved at Q15 end is 87% (USD 2,044,349.48) of the corresponding cumulative budget of USD 2,338,275.07 and the cumulative variance is 13% (USD 293,925.59). At Q15 end, the total cumulative budget provided for PR is 46% amounting to USD 1,074,378.00. Out of this, the PR implemented 92% (USD 983,231.99) and 8% (USD 91,146.01) remains unimplemented. The unimplemented budget pertains to Training under SDA 1.7.1 USD 12,117.84, SDA 2.2.2 USD 22,493.01 (Training budget provided for long term study in Epidimeology), and unimplemented procurement related budgets are SDA 1.8.3 USD 11,069.72, SDA 1.8.4 USD 13,735.20, SDA 3.1 USD 11,352.91 and M &amp; E  budget under SDA 2.2.1 amounting to USD 12,160.12 respectively.  
With respect to PR’s financial performance, the cumulative variance of 8% (USD 91,145.87) is not material in the opinion of the LFA. Detailed analysis of cumulative variances is shown in Annexure D.
</t>
  </si>
  <si>
    <t xml:space="preserve">  The cumulative budget allocated for SRs at Q15 end is 54% amounting to USD 1,263,897.07. Out of this, total disbursement amounted to 84% (USD 1,061,117.35) resulting cumulative variance of 13% (USD 202,779.72). Major variances occurred from not releasing training budgets provided for Department of Youth Services under SDA 1.1.1 USD 65,886.38, SDA 1.1.2 USD 27,522.00 and, budget for supply of equipment amounting to USD 21,517.62 is also remains unimplemented. Detailed analysis is of cumulative variances is given in Annexure D.</t>
  </si>
  <si>
    <t xml:space="preserve">Cash balance is correctly reflected as shown in the Cash Flow Statement. The LFA verified this balance with reference to  PR's cash book and the bank reconciliation statement. </t>
  </si>
  <si>
    <t xml:space="preserve">Cash balance is correctly reflected as shown in the Cash Flow Statement. The LFA verified this balance with reference to the PR's cash book and bank reconciliation statement. </t>
  </si>
  <si>
    <t>The PR has not provided any analysis of SR expenditure and also explanations of variances.</t>
  </si>
  <si>
    <t>The balance activities are planned to be implementedin Q16.</t>
  </si>
  <si>
    <t>Q16budget implemented.</t>
  </si>
  <si>
    <t>The activity is planned for implamentation in Q16 &amp; Q17.</t>
  </si>
  <si>
    <t>The activity is planned for implamentation in Q18.</t>
  </si>
  <si>
    <t>PR need to provide reason for excess expenditure</t>
  </si>
  <si>
    <t>UNOPS/LFA-BHUTAN</t>
  </si>
  <si>
    <t>Grant Rating Tool in Excel</t>
  </si>
  <si>
    <r>
      <rPr>
        <b/>
        <u/>
        <sz val="8"/>
        <color indexed="10"/>
        <rFont val="Arial"/>
        <family val="2"/>
      </rPr>
      <t>Important</t>
    </r>
    <r>
      <rPr>
        <b/>
        <sz val="8"/>
        <color indexed="10"/>
        <rFont val="Arial"/>
        <family val="2"/>
      </rPr>
      <t>:</t>
    </r>
    <r>
      <rPr>
        <sz val="8"/>
        <color indexed="10"/>
        <rFont val="Arial"/>
        <family val="2"/>
      </rPr>
      <t xml:space="preserve"> Please start entering the Data in the first row/field "B5"</t>
    </r>
  </si>
  <si>
    <t>Target</t>
  </si>
  <si>
    <t>Result</t>
  </si>
  <si>
    <t>Top 10</t>
  </si>
  <si>
    <t>Training indicator</t>
  </si>
  <si>
    <t>Reverse Indicator?</t>
  </si>
  <si>
    <t>Indicator Number</t>
  </si>
  <si>
    <t>Indicator Name</t>
  </si>
  <si>
    <t>Period</t>
  </si>
  <si>
    <t>R_Period</t>
  </si>
  <si>
    <t>R_Value</t>
  </si>
  <si>
    <t>Result % (*)</t>
  </si>
  <si>
    <t>Q9</t>
  </si>
  <si>
    <t>q9</t>
  </si>
  <si>
    <t>Number of Most at Risk individuals reached with education materials (primary substance users and sex workers)</t>
  </si>
  <si>
    <t>Number and Percentage of people with advanced HIV infection receiving antiretroviral treatment</t>
  </si>
  <si>
    <t xml:space="preserve">
</t>
  </si>
  <si>
    <t xml:space="preserve"> * The % of target reached for individual indicators is capped at 120%  (to avoid over-performing indicators skewing the mean disproportionally )</t>
  </si>
  <si>
    <t>Calculation Table</t>
  </si>
  <si>
    <t>Quantitative Indicator Rating</t>
  </si>
  <si>
    <t>Performance Rating</t>
  </si>
  <si>
    <t>ALL indicators rating</t>
  </si>
  <si>
    <t>&gt; 100%</t>
  </si>
  <si>
    <t>Top 10 Indicators Rating</t>
  </si>
  <si>
    <t>B2</t>
  </si>
  <si>
    <t>100-90%</t>
  </si>
  <si>
    <t>60-89%</t>
  </si>
  <si>
    <t>30-59%</t>
  </si>
  <si>
    <t>&lt;30%</t>
  </si>
  <si>
    <t>Top TEN indicators &amp; Training</t>
  </si>
  <si>
    <t>Training indicators non Top 10</t>
  </si>
  <si>
    <r>
      <t xml:space="preserve">AVG performance on Top 10 </t>
    </r>
    <r>
      <rPr>
        <b/>
        <u/>
        <sz val="8"/>
        <rFont val="Arial"/>
        <family val="2"/>
      </rPr>
      <t>TRAINING</t>
    </r>
    <r>
      <rPr>
        <b/>
        <sz val="8"/>
        <rFont val="Arial"/>
        <family val="2"/>
      </rPr>
      <t xml:space="preserve"> Indicators only</t>
    </r>
  </si>
  <si>
    <t>SUM perf Top ten Not Training</t>
  </si>
  <si>
    <t>COUNT Top ten Not Training</t>
  </si>
  <si>
    <t>AVG performance on TOP TEN indicators (including TRAINING)</t>
  </si>
  <si>
    <r>
      <rPr>
        <b/>
        <u/>
        <sz val="8"/>
        <color indexed="10"/>
        <rFont val="Arial"/>
        <family val="2"/>
      </rPr>
      <t>Important</t>
    </r>
    <r>
      <rPr>
        <sz val="8"/>
        <color indexed="10"/>
        <rFont val="Arial"/>
        <family val="2"/>
      </rPr>
      <t>: The calculated INDICATOR RATING for a grant cannot equal A1 or A2 if one or more “Top 10 Indicator” or “Top 10 equivalent Indicator” is rated B2 or C (i.e., less than 60% achievement). Please fill in the Intermediate Result given by the Matrix in the box below, in order to get the final Quantitative Rating.</t>
    </r>
  </si>
  <si>
    <t>Number of TOP TEN indicators with B2 or C Rating</t>
  </si>
  <si>
    <t>TOP TEN indicators rating</t>
  </si>
  <si>
    <t>Intermediate Quantitative Rating result from the Matrix above</t>
  </si>
  <si>
    <t>AVG performance ALL indicators</t>
  </si>
  <si>
    <t>Final Quantitative Rating</t>
  </si>
  <si>
    <t>Intermediary Result for Quantitative Indicator rating</t>
  </si>
  <si>
    <t>See Rating highlighted in the Matrix</t>
  </si>
  <si>
    <r>
      <rPr>
        <b/>
        <sz val="11"/>
        <rFont val="Arial"/>
        <family val="2"/>
      </rPr>
      <t xml:space="preserve">Cumulative achievment: 58 % Cumulative actual/target 395/679.  This result shows under-achievement.  Results reported over program term.
</t>
    </r>
    <r>
      <rPr>
        <sz val="11"/>
        <rFont val="Arial"/>
        <family val="2"/>
      </rPr>
      <t xml:space="preserve">
There was wrong reporting which was found out during the OSDV. We have requested SR/PR to recalculate the actual results for TOT where as SR had been reporting both TOT and cascade training.  In the approved work plan and budget, there is budget to train (SDA 1.1.1: TOT on LSE) 120 teachers in Year 3, 226 teachers in Year 4, and 132 teachers in Year 5   and also budget to Train (SDA 1.1.2: Support to TOT in the implementation of further training of teachers in their communities/districts) 240 teachers in Year 3, 1529 Teachers in Year 4 and 773 teachers in Year 5. However this support to TOT is not reflected in PF and is not require to report as there is no indicator set for this.  During the PU/DR reporting, SR/PR has combined both results thereby showing very high achievement.  LFA received the corrected information and has cross checked the information and found that only 126 Teachers has been trained for SDA 1.1.1 in Year 3 and no budget has been released for Year 4. Although, SR is supposed (as per approved work plan) to train the teachers in Q13 but SR defer to Q16 which is for winter holidays. This is not to disturb the students during the academic session. This change in achievement should be use for previous quarters (Q12-14).
</t>
    </r>
    <r>
      <rPr>
        <b/>
        <i/>
        <sz val="11"/>
        <rFont val="Arial"/>
        <family val="2"/>
      </rPr>
      <t>Source of information</t>
    </r>
    <r>
      <rPr>
        <sz val="11"/>
        <rFont val="Arial"/>
        <family val="2"/>
      </rPr>
      <t>: Interview with Project Manager of Project Management Team which manages the SR's for HIV program and quarterly report submitted by SR. 
DYS letter number: DYS/CSHD/GFATM/2011/2103 dated 4/3/2011</t>
    </r>
  </si>
  <si>
    <t xml:space="preserve"> M &amp; E Officer  has been recruited  since 2010 and is working  for M &amp; E  of three diseases attached with PMT.</t>
  </si>
  <si>
    <t xml:space="preserve">PR has recruited a National TA to review the M &amp; E System and to revise the existing SR data collection and reporting formats and guidelines. The TA has revised and all SRs were provided hands-on-training on the revised reporting format on 17 June 2011 at Paro. However, the new reporting format and guidelines is not been used by most of SRs to report the quarterly report.   LFA was informed by SRs that the reporting format is too complicated to be used and most of the focal person in SRs is new who has not been trained. PR need to review the guidelines and report format and again conduct a hands-on training immediately. </t>
  </si>
  <si>
    <t>The PR has recruited a National TA to review the M &amp; E training and supervision plan for reporting units including SRs. LFA is yet to receive the report and to see the actual implementation of M &amp; E training and supervision plan for reporting Units. LFA has asked PR to submit the report to LFA and GF.</t>
  </si>
  <si>
    <t xml:space="preserve">Updated PSM plan was submitted to GF and was approved on 2 Feb 2011.                                                                                                                                  </t>
  </si>
  <si>
    <t>This has been done. There were several exchanges of comments and revisions on the Phase 2 PSM Plan. The deficiencies were corrected and based on the revision; GF provided the approval for PSM Plan.</t>
  </si>
  <si>
    <t xml:space="preserve">PR has submitted forecasting for ARVs and testing products while submitting PSM Plan which is aligned with PF, workplan and budget </t>
  </si>
  <si>
    <t xml:space="preserve">The written approval of the GF of the updated PSM Plan was provided on 2 Feb 2011.                                               </t>
  </si>
  <si>
    <t>The PCM members during its 14th PCM meeting endorsed that hereafter the Ministry of Health shall be the PR and are responsible for implementation of the program. The Phase 2 documents were also signed both by GNHC and MoH  to reflect this arrangement</t>
  </si>
  <si>
    <t xml:space="preserve">The required staffs are in place. Currently, Mr Tandin Dorji is the overall Program Manager for TB and HIV program. Mr.  Sonam Wangdi, Program Officer has left for his studies but Mr Namgay Tshering is appointed as the new Program Manager and Mr Leki Khandu as Assistant Program Manager. Mr Ugyen Tshewang is the Finance Officer and Mr Dinash Rai is working as an Accountant. There is one M &amp; E officer (Mr Jigme Thinley) who will be looking after M &amp; E component  of all three diseases. Mr Tandin Dorji, Chief Program Officer of DVED is looking after PSM. </t>
  </si>
  <si>
    <t>PR submitted the detailed quarterly budget for Year 4 and 5 including detailed breakdown per cost categories and summary budget to LFA on 17 October 2010. LFA verified the submission and was submitted to GF on 18 October 2010 and GF approved the Year 4 and 5 budget including detailed breakdown on 22 October 2010.</t>
  </si>
  <si>
    <t xml:space="preserve">PR has issued purchase order for procurement of ARV drugs and expected to receive the drugs by mid-October through Year 3 budget.  Therefore, no health products were received so far and thus there is no update on PQR database. </t>
  </si>
  <si>
    <t>Met</t>
  </si>
  <si>
    <t>PR has revised the reporting template and has assured that the SRs will be retrained. This is expected to be conducted in the next quarter.</t>
  </si>
  <si>
    <t>EFR for Period 1 Feb 2010-Jan 2011 was submitted to GF on 28 April 2011</t>
  </si>
  <si>
    <t>RAA is completed  the auditing and report will be shared with PR. The 1 Feb 2010-31 Jan 2011 audit report was submitted on 26 March 2011.</t>
  </si>
  <si>
    <t>The overall budget absorption rate achieved at Q15 end is 107% (USD 115,743.48) of the total corresponding budget of USD 108,107.00. Out of the total budget, the PR is allocated 86% of the budget amounting to USD 93,272.00. During this quarter, the PR implemented 53% (USD 49,088.00) of the total budget allocated either fully or partially, while 47% (USD 44,184.00) remains unimplemented at Q15 end.  Analysis of unimplemented budget shows that Training budget (SDA 2.4.1) amounting to USD 7,389.00 was not implemented as the PR has postponed the activity for implementation in Q16. Further, procurement budget related to Test Kits Vacationers (SDA 1.8.3) amounting to USD 21,750.00 and budget for CD4 Reagents (SDA 1.8.4) amounting to USD 15,045.00 was not implemented in Q15. Analysis of expenditure reveals that out of the total expenditure of USD 77,400.13, 62% (USD 48,113.69) pertains to the implementation of current budget and another 24% (USD 18,699.23) is related to the implementation of back log activities while 14% (USD 10,578.40) has been incurred in implementation of budgets of Q17 and Q18 respectively.  Detailed analysis of variance is shown in Annexure -C.</t>
  </si>
  <si>
    <t>The SR is allocated 14% (USD 14,835) of the total budget of USD 108,107 in Q15. Out of this, the PR disbursed 57% (USD 8,495.00) while 43% (USD 6,340.00) remains undisbursed at Q15 end. Analysis of disbursement shows that only 19% (USD 7,238.66) is related to Q15 budget while 81% (USD 31,104.69) pertains to the disbursement made related to back log activities. Detailed analysis is shown in Annexure -C.</t>
  </si>
  <si>
    <t>Budget is not utilised in Phase II as the PSM plan was delayed in approving for purchase of Health products and equipments since PR took longer time to address the issues in PSM Plan</t>
  </si>
  <si>
    <t>Budget is not utilised in Phase II as the PSM plan  was delayed in approving for purchase of Health products and equipments since PR took longer time to address the issues in PSM Plan</t>
  </si>
  <si>
    <t>As indicated by PR, the capacity of DVED is weak and there had been delay in procuring most of the drugs but essential drugs such as ARV drugs will not get out-of -stock since they had procured enough. The PSM plan for all three grants was delayed in getting approval from GF due to weak capacity of the DVED. There is need to strengthen the capacity of DVED.</t>
  </si>
  <si>
    <t>Program achievement: The average percentage achievement for the seven top ten indicators is 93% which is A2 rating but two TOP indicators are in B1 (indicator 1.1 is 74 % and indicator 1.9 is 86%). The average for all the indicators is 93 percent which is A2 rating. Out of seven top indicators for this quarter, the achievement for four indicators is above 100 percent and none are below 70 percent. Only two Indicators are in B2 rating.  The final Quantitative rating is B1 (see annexure A). Financial Achievement: The overall budget absorption rate of Q15 end is 107 % (USD 115,743.48) of the corresponding budget of USD 108,107.00. Out of the total budget, the PR is allocated 86% of the budget amounting to USD 93,272.00. PR implemented 53% (USD 49,088.00) of the total budget allocated either fully or partially, while 47% (USD 44,184.00) remains unimplemented at Q15 end.The budget implemented (partially or fully) in Q15 amounts to 60% (USD 147,455) and 40 % (USD 97,117.00) of the Q15 budget remains un-implemented. Analysis of expenditure reveals that out of the total expenditure of USD 77,400.13, 62% (USD 48,113.69) pertains to the implementation of current budget and another 24% (USD 18,699.23) is related to the implementation of back log activities while 14% (USD 10,578.40) has been incurred in implementation of budgets of Q17 and Q18 respectively.  Detailed analysis of variance is shown in Annexure -C.With such a burnt-rate, the financial achievement in this quarter is rated "A1".   Overall Rating: Based on the program and financial performance, LFA provided a rating of "B1" for this quarter.</t>
  </si>
  <si>
    <t>LFA do not see any major plan changes except DYS has reprogram the training of school teachers during the winter holiday (Dec-Jan) so that teachers are not disturbed during the academic session.</t>
  </si>
  <si>
    <t>As indicated in Q14, due to 18 September 2011 earthquake with magnitude of 6.9, there had been major damages to houses, cultural monuments, roads and public infrastructures (Health centers, schools etc) in the country. Thus,  LFA foresees that all public servants will be engaged in rebuilding these infrastructures and may hamper the implementation of the program in certain areas especially in hard-hit districts in western Bhutan.</t>
  </si>
  <si>
    <t>Verified and found to be correct</t>
  </si>
  <si>
    <t>Correct</t>
  </si>
  <si>
    <t>LFA met with Chief Program Officer, PMT, Program Officers of GNHC and NACP and Accountant  and discuss on key findings included in this report.</t>
  </si>
  <si>
    <t xml:space="preserve">All CPs for this disbursement has been met </t>
  </si>
  <si>
    <t>There is no budget forecast in Q15.</t>
  </si>
  <si>
    <t>Yeshey Dorji</t>
  </si>
  <si>
    <t>Team Leader</t>
  </si>
  <si>
    <t>15 Jan 2012, Thimphu-BHUTAN</t>
  </si>
  <si>
    <t>The exchange rates are: First disbursement= 1 USD= BTN 39.25; Second disbursement =1 USD = BTN  47.841; third disbursement 1 USD=  BTN 46.04; Fourth Disbursement 1 USD= BTN 46.74; Fifth disbursement 1 USD=BTN.45.37; sixth disbursement 1 USD =BTN 52.09</t>
  </si>
  <si>
    <r>
      <rPr>
        <b/>
        <sz val="11"/>
        <rFont val="Arial"/>
        <family val="2"/>
      </rPr>
      <t>Cumulative achievement: 74 %. Cumulative actual/target 55,829/75,600.  This result shows under-achievement. This is a top ten indicator. Results reported over program term.</t>
    </r>
    <r>
      <rPr>
        <sz val="11"/>
        <rFont val="Arial"/>
        <family val="2"/>
      </rPr>
      <t xml:space="preserve">
In this quarter, no young people were reached with HIV education and therefore the results are the same as for the previous quarters. The Department of Youth and Sports who is the SR for this activity has not implemented this activity for 3 consecutive quarters. This activity should be implemented routinely in the schools as the teachers guide is already distributed and life skills education is now part of the school curriculum. However with school final examination preparation followed by school holidays mean that this activity is unlikely to take place in the next two quarters.
A new Focal person has been appointed in the school health program, Department of Youth and Sports. With three dedicated staff ,it is expected that the SR will now provide focus and accelerate activities to achieve targets.
</t>
    </r>
    <r>
      <rPr>
        <b/>
        <sz val="11"/>
        <rFont val="Arial"/>
        <family val="2"/>
      </rPr>
      <t xml:space="preserve">Source of information: 
</t>
    </r>
    <r>
      <rPr>
        <sz val="11"/>
        <rFont val="Arial"/>
        <family val="2"/>
      </rPr>
      <t xml:space="preserve">Report by SR (DYS) submitted to PR
</t>
    </r>
    <r>
      <rPr>
        <sz val="11"/>
        <color indexed="10"/>
        <rFont val="Arial"/>
        <family val="2"/>
      </rPr>
      <t xml:space="preserve">
</t>
    </r>
    <r>
      <rPr>
        <sz val="11"/>
        <rFont val="Arial"/>
        <family val="2"/>
      </rPr>
      <t xml:space="preserve">
</t>
    </r>
  </si>
  <si>
    <t>There is no major variances between PR and LFA verified data</t>
  </si>
  <si>
    <t>PR has shared with LFA on the study on Sexual Behaviours and Networks in Thimphu, Bhutan: A Rapid Assessment which is attached with this PU.</t>
  </si>
  <si>
    <t>This issue is being taken care by PR</t>
  </si>
  <si>
    <t>MoH is in process of strengthening DVED as new people are being recruited to run the division</t>
  </si>
  <si>
    <t xml:space="preserve">PR has procured ARV drugs but has not been updated in the PQR and LFA is unable to compare the prices </t>
  </si>
  <si>
    <t>PR has informed that enough drugs has been procured. However, LFA is not in position to verify since PR has not updated the PQR.</t>
  </si>
  <si>
    <t>SR should actively reach out of school people with HIV education especially by the Ministry of Labour and Human Resources. Trainees in the vocational training institutes and job seekers coming to the Ministry seeking employement should be reached and reported.   Time: Q16</t>
  </si>
  <si>
    <t>SR should ensure that this activity is conducted and the targets are reached. Since this activity can be conducted in the monasteries, the PR should ensure that SR carries  out this acitivyt in time and that it is reported in a timely manner.  There must be better oversight by the PR on SR management.  Timeline: Q16</t>
  </si>
  <si>
    <t xml:space="preserve">LFA carried out vouching exercise with random selection of payment vouchers for the month of October 2011. The expenditure incurred in October 2011 amounted to USD 71,277 accounting to 62 percent of the total expenditure in Q15 (USD 115,743.48). The objective of vouching exercise has been to check the accuracy and genuineness of all recorded transactions, check all recorded transactions are properly authorized and supported with bills and money recipts, and all expenditures have been incurred in line with GFATM approved budget line. In opinion of LFA, all expenditures are supported by documentary evidences and are in line with GFATM approved work plan and budget. </t>
  </si>
  <si>
    <t>No young people were reached during the reporting period as all the schools were closed for winter vaction. Once the accadimic session starts, reseult is expected to increase.</t>
  </si>
  <si>
    <t>65 teachers in Tashigang, 42 in Samdrup jongkhar, 35 in Lhuntse and 41 in Punakha District has been trained on LSBE in this reporting period. The number is expected to increased as they ll train other teachers once back in their school</t>
  </si>
  <si>
    <t>World AIDs day celebration 2011 in all 20 Districts (Reached to a total of 519 NFE learners)</t>
  </si>
  <si>
    <t xml:space="preserve">Result same as of precious quater.There are only 816 NFE instructors recorded with the NFE and all of them have been trained on LSE. Hence the no of NFE instructors trained to provide HIV education in out of school setting remains at 816 out of total targetted for 887. There was over estimation in the targets initially. </t>
  </si>
  <si>
    <t>During the reporting period the reports 21 MARPs were reached by National HIV/AIDS Control Program.</t>
  </si>
  <si>
    <t>100 transport workers were reached with HIV education during the reporting period by the National HIV program</t>
  </si>
  <si>
    <t>No sensitization program was carried out during the reporting period.programs planned in coming quarters</t>
  </si>
  <si>
    <t>Advocacy and Review Woskshop. 28/11/2011 Dechenphodrag Monastic School, Thimphu</t>
  </si>
  <si>
    <t xml:space="preserve">In this reporting period, 2,835 people were counseled, tested and post counseled after self. The number is expected to rise drastically by the next reporting period because of the advocacy programs by Lhaksam(PLWHA NGO) </t>
  </si>
  <si>
    <t xml:space="preserve"> During this quarter, 7  additonal people were put on treatment. With the initiation of  revised WHO guidelines we expect more people to be given ART in the following quarters </t>
  </si>
  <si>
    <t>27.1.2012</t>
  </si>
  <si>
    <t>The TOT under the Dept of Youth &amp; Sports was actually planed in Qtr 14 but as per the Ministry of Education policy, the TOT was carried out during the winter vacation (Qtr 16)</t>
  </si>
  <si>
    <t>Ms. Tandin Lham</t>
  </si>
  <si>
    <t>Program Coordinator</t>
  </si>
  <si>
    <t>21/03/2011 Gross National Happiness Commission (GNHC), Thimphu</t>
  </si>
  <si>
    <t>sentinel surveilance was actually in end for 2011 as in the past but could not be conducted. Will be conducted in Mid April 2012</t>
  </si>
  <si>
    <t>sentinel surveillance post poned to be carried out in April 2012</t>
  </si>
  <si>
    <t>As per the Ministry of Education policy, Teachers are not allowed for training/workshops during the accadamic sessions. Therefore the TOT (SDA 1.2) under the Departement of Youth and Sports, MoE planned actually on Qtr14 as per work plan was carried out during this reporting period</t>
  </si>
  <si>
    <t>Overdue</t>
  </si>
  <si>
    <t>The latest Audit report dated November 2011 have been submitted to GF</t>
  </si>
  <si>
    <t>Since the 4th Quarter (Period 16) also covers January Month. The Financial reports for January is being incorperated in the EFR and will be submitted with the present PUDR</t>
  </si>
</sst>
</file>

<file path=xl/styles.xml><?xml version="1.0" encoding="utf-8"?>
<styleSheet xmlns="http://schemas.openxmlformats.org/spreadsheetml/2006/main">
  <numFmts count="17">
    <numFmt numFmtId="43" formatCode="_(* #,##0.00_);_(* \(#,##0.00\);_(* &quot;-&quot;??_);_(@_)"/>
    <numFmt numFmtId="164" formatCode="_ * #,##0.00_ ;_ * \-#,##0.00_ ;_ * &quot;-&quot;??_ ;_ @_ "/>
    <numFmt numFmtId="165" formatCode="_ * #,##0_ ;_ * \-#,##0_ ;_ * &quot;-&quot;??_ ;_ @_ "/>
    <numFmt numFmtId="166" formatCode="[$-409]d\-mmm\-yyyy;@"/>
    <numFmt numFmtId="167" formatCode="#,##0.00;[Red]\(#,##0.00\)"/>
    <numFmt numFmtId="168" formatCode="#,##0.0000_);[Red]\(#,##0.0000\)"/>
    <numFmt numFmtId="169" formatCode="dd/mm/yyyy;@"/>
    <numFmt numFmtId="170" formatCode="[$-409]d\-mmm\-yy;@"/>
    <numFmt numFmtId="171" formatCode="#,##0.0000;[Red]\-#,##0.0000"/>
    <numFmt numFmtId="172" formatCode="mm/dd/yy;@"/>
    <numFmt numFmtId="173" formatCode="#,##0.0000_ ;\-#,##0.0000\ "/>
    <numFmt numFmtId="174" formatCode="#,##0.00_ ;\-#,##0.00\ "/>
    <numFmt numFmtId="175" formatCode="#,##0.0000"/>
    <numFmt numFmtId="176" formatCode="0.0000"/>
    <numFmt numFmtId="177" formatCode="_(* #,##0.00_);_(* \(#,##0.00%\);_(* &quot;-&quot;??_);_(@_)"/>
    <numFmt numFmtId="178" formatCode="#,##0.0_);[Red]\(#,##0.0\)"/>
    <numFmt numFmtId="179" formatCode="#,##0.0"/>
  </numFmts>
  <fonts count="135">
    <font>
      <sz val="10"/>
      <name val="Arial"/>
    </font>
    <font>
      <sz val="11"/>
      <color indexed="8"/>
      <name val="Calibri"/>
      <family val="2"/>
    </font>
    <font>
      <sz val="10"/>
      <name val="Arial"/>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sz val="10"/>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sz val="11"/>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b/>
      <sz val="18"/>
      <name val="Arial"/>
      <family val="2"/>
    </font>
    <font>
      <sz val="18"/>
      <name val="Arial"/>
      <family val="2"/>
    </font>
    <font>
      <b/>
      <sz val="10"/>
      <name val="Arial"/>
      <family val="2"/>
    </font>
    <font>
      <u/>
      <sz val="14"/>
      <name val="Arial"/>
      <family val="2"/>
    </font>
    <font>
      <i/>
      <sz val="11"/>
      <name val="Arial"/>
      <family val="2"/>
    </font>
    <font>
      <b/>
      <sz val="14"/>
      <name val="Arial"/>
      <family val="2"/>
    </font>
    <font>
      <u/>
      <sz val="12"/>
      <name val="Arial"/>
      <family val="2"/>
    </font>
    <font>
      <sz val="14"/>
      <name val="Arial"/>
      <family val="2"/>
    </font>
    <font>
      <sz val="8"/>
      <name val="Arial"/>
      <family val="2"/>
    </font>
    <font>
      <u/>
      <sz val="11"/>
      <name val="Arial"/>
      <family val="2"/>
    </font>
    <font>
      <sz val="10"/>
      <color indexed="22"/>
      <name val="Arial"/>
      <family val="2"/>
    </font>
    <font>
      <sz val="10"/>
      <color indexed="8"/>
      <name val="Arial"/>
      <family val="2"/>
    </font>
    <font>
      <sz val="7"/>
      <name val="Times New Roman"/>
      <family val="1"/>
    </font>
    <font>
      <b/>
      <i/>
      <sz val="11"/>
      <name val="Arial"/>
      <family val="2"/>
    </font>
    <font>
      <sz val="8"/>
      <name val="Arial"/>
      <family val="2"/>
    </font>
    <font>
      <sz val="10"/>
      <name val="Arial"/>
      <family val="2"/>
    </font>
    <font>
      <sz val="8"/>
      <name val="Arial"/>
      <family val="2"/>
    </font>
    <font>
      <i/>
      <sz val="10"/>
      <name val="Arial"/>
      <family val="2"/>
    </font>
    <font>
      <sz val="11"/>
      <color indexed="9"/>
      <name val="Arial"/>
      <family val="2"/>
    </font>
    <font>
      <b/>
      <sz val="11"/>
      <color indexed="9"/>
      <name val="Arial"/>
      <family val="2"/>
    </font>
    <font>
      <b/>
      <sz val="11"/>
      <color indexed="10"/>
      <name val="Arial"/>
      <family val="2"/>
    </font>
    <font>
      <b/>
      <sz val="11"/>
      <color indexed="52"/>
      <name val="Arial"/>
      <family val="2"/>
    </font>
    <font>
      <sz val="10"/>
      <color indexed="10"/>
      <name val="Arial"/>
      <family val="2"/>
    </font>
    <font>
      <b/>
      <sz val="11"/>
      <color indexed="12"/>
      <name val="Arial"/>
      <family val="2"/>
    </font>
    <font>
      <sz val="11"/>
      <color indexed="12"/>
      <name val="Arial"/>
      <family val="2"/>
    </font>
    <font>
      <sz val="10"/>
      <color indexed="9"/>
      <name val="Arial"/>
      <family val="2"/>
    </font>
    <font>
      <b/>
      <sz val="9"/>
      <name val="Arial"/>
      <family val="2"/>
    </font>
    <font>
      <sz val="10"/>
      <color indexed="12"/>
      <name val="Arial"/>
      <family val="2"/>
    </font>
    <font>
      <b/>
      <sz val="10"/>
      <color indexed="12"/>
      <name val="Arial"/>
      <family val="2"/>
    </font>
    <font>
      <b/>
      <sz val="11"/>
      <color indexed="53"/>
      <name val="Arial"/>
      <family val="2"/>
    </font>
    <font>
      <b/>
      <u/>
      <sz val="12"/>
      <color indexed="12"/>
      <name val="Arial"/>
      <family val="2"/>
    </font>
    <font>
      <b/>
      <sz val="12"/>
      <color indexed="12"/>
      <name val="Arial"/>
      <family val="2"/>
    </font>
    <font>
      <sz val="12"/>
      <color indexed="12"/>
      <name val="Arial"/>
      <family val="2"/>
    </font>
    <font>
      <sz val="11"/>
      <color indexed="53"/>
      <name val="Arial"/>
      <family val="2"/>
    </font>
    <font>
      <b/>
      <sz val="12"/>
      <color indexed="8"/>
      <name val="Calibri"/>
      <family val="2"/>
    </font>
    <font>
      <b/>
      <sz val="10"/>
      <color indexed="8"/>
      <name val="Calibri"/>
      <family val="2"/>
    </font>
    <font>
      <b/>
      <u/>
      <sz val="10"/>
      <color indexed="8"/>
      <name val="Calibri"/>
      <family val="2"/>
    </font>
    <font>
      <b/>
      <sz val="10"/>
      <name val="Calibri"/>
      <family val="2"/>
    </font>
    <font>
      <sz val="10"/>
      <color indexed="8"/>
      <name val="Calibri"/>
      <family val="2"/>
    </font>
    <font>
      <b/>
      <sz val="11"/>
      <color indexed="12"/>
      <name val="Calibri"/>
      <family val="2"/>
    </font>
    <font>
      <sz val="8"/>
      <name val="Arial"/>
      <family val="2"/>
    </font>
    <font>
      <b/>
      <u/>
      <sz val="11"/>
      <name val="Arial"/>
      <family val="2"/>
    </font>
    <font>
      <sz val="10"/>
      <name val="Arial"/>
      <family val="2"/>
    </font>
    <font>
      <b/>
      <i/>
      <sz val="10"/>
      <name val="Arial"/>
      <family val="2"/>
    </font>
    <font>
      <b/>
      <i/>
      <sz val="12"/>
      <name val="Arial"/>
      <family val="2"/>
    </font>
    <font>
      <b/>
      <i/>
      <sz val="8"/>
      <name val="Arial"/>
      <family val="2"/>
    </font>
    <font>
      <sz val="12"/>
      <color indexed="8"/>
      <name val="Times"/>
      <family val="1"/>
    </font>
    <font>
      <b/>
      <sz val="8"/>
      <color indexed="81"/>
      <name val="Tahoma"/>
      <family val="2"/>
    </font>
    <font>
      <sz val="8"/>
      <color indexed="81"/>
      <name val="Tahoma"/>
      <family val="2"/>
    </font>
    <font>
      <sz val="10"/>
      <color indexed="10"/>
      <name val="Tahoma"/>
      <family val="2"/>
    </font>
    <font>
      <b/>
      <sz val="14"/>
      <color indexed="12"/>
      <name val="Arial"/>
      <family val="2"/>
    </font>
    <font>
      <sz val="11"/>
      <name val="Arial"/>
      <family val="2"/>
    </font>
    <font>
      <sz val="13"/>
      <name val="Arial"/>
      <family val="2"/>
    </font>
    <font>
      <b/>
      <sz val="13"/>
      <color indexed="12"/>
      <name val="Arial"/>
      <family val="2"/>
    </font>
    <font>
      <sz val="12"/>
      <color indexed="8"/>
      <name val="Arial"/>
      <family val="2"/>
    </font>
    <font>
      <b/>
      <sz val="10"/>
      <name val="Arial"/>
      <family val="2"/>
    </font>
    <font>
      <sz val="11"/>
      <name val="Calibri"/>
      <family val="2"/>
    </font>
    <font>
      <sz val="9"/>
      <color indexed="81"/>
      <name val="Tahoma"/>
      <family val="2"/>
    </font>
    <font>
      <b/>
      <sz val="9"/>
      <color indexed="81"/>
      <name val="Tahoma"/>
      <family val="2"/>
    </font>
    <font>
      <sz val="14"/>
      <color indexed="9"/>
      <name val="Arial"/>
      <family val="2"/>
    </font>
    <font>
      <b/>
      <i/>
      <u/>
      <sz val="10"/>
      <name val="Arial"/>
      <family val="2"/>
    </font>
    <font>
      <sz val="14"/>
      <color indexed="12"/>
      <name val="Arial"/>
      <family val="2"/>
    </font>
    <font>
      <b/>
      <sz val="16"/>
      <color indexed="12"/>
      <name val="Arial"/>
      <family val="2"/>
    </font>
    <font>
      <b/>
      <u/>
      <sz val="14"/>
      <color indexed="12"/>
      <name val="Arial"/>
      <family val="2"/>
    </font>
    <font>
      <b/>
      <sz val="11"/>
      <color indexed="10"/>
      <name val="Arial"/>
      <family val="2"/>
    </font>
    <font>
      <sz val="10"/>
      <color indexed="10"/>
      <name val="Arial"/>
      <family val="2"/>
    </font>
    <font>
      <b/>
      <sz val="11"/>
      <color indexed="8"/>
      <name val="Arial"/>
      <family val="2"/>
    </font>
    <font>
      <b/>
      <sz val="12"/>
      <color indexed="10"/>
      <name val="Arial"/>
      <family val="2"/>
    </font>
    <font>
      <b/>
      <u/>
      <sz val="14"/>
      <color indexed="10"/>
      <name val="Arial"/>
      <family val="2"/>
    </font>
    <font>
      <b/>
      <sz val="12"/>
      <color indexed="10"/>
      <name val="Times New Roman"/>
      <family val="1"/>
    </font>
    <font>
      <b/>
      <sz val="11"/>
      <color indexed="12"/>
      <name val="Arial"/>
      <family val="2"/>
    </font>
    <font>
      <b/>
      <sz val="12"/>
      <color indexed="12"/>
      <name val="Arial"/>
      <family val="2"/>
    </font>
    <font>
      <b/>
      <sz val="14"/>
      <color indexed="12"/>
      <name val="Arial"/>
      <family val="2"/>
    </font>
    <font>
      <b/>
      <sz val="12"/>
      <color indexed="12"/>
      <name val="Arial"/>
      <family val="2"/>
    </font>
    <font>
      <b/>
      <sz val="16"/>
      <color indexed="12"/>
      <name val="Arial"/>
      <family val="2"/>
    </font>
    <font>
      <b/>
      <sz val="14"/>
      <color indexed="12"/>
      <name val="Arial"/>
      <family val="2"/>
    </font>
    <font>
      <sz val="11"/>
      <color indexed="10"/>
      <name val="Arial"/>
      <family val="2"/>
    </font>
    <font>
      <sz val="9"/>
      <color indexed="8"/>
      <name val="Times New Roman"/>
      <family val="1"/>
    </font>
    <font>
      <sz val="9"/>
      <name val="Times New Roman"/>
      <family val="1"/>
    </font>
    <font>
      <b/>
      <sz val="9"/>
      <name val="Times New Roman"/>
      <family val="1"/>
    </font>
    <font>
      <b/>
      <sz val="9"/>
      <color indexed="8"/>
      <name val="Times New Roman"/>
      <family val="1"/>
    </font>
    <font>
      <sz val="10"/>
      <name val="Californian FB"/>
      <family val="1"/>
    </font>
    <font>
      <sz val="9"/>
      <name val="Californian FB"/>
      <family val="1"/>
    </font>
    <font>
      <b/>
      <sz val="9"/>
      <color indexed="10"/>
      <name val="Times New Roman"/>
      <family val="1"/>
    </font>
    <font>
      <b/>
      <sz val="14"/>
      <color indexed="8"/>
      <name val="Times New Roman"/>
      <family val="1"/>
    </font>
    <font>
      <sz val="10"/>
      <color indexed="8"/>
      <name val="MS Sans Serif"/>
      <family val="2"/>
    </font>
    <font>
      <b/>
      <sz val="16"/>
      <color indexed="8"/>
      <name val="Times New Roman"/>
      <family val="1"/>
    </font>
    <font>
      <sz val="8"/>
      <color indexed="8"/>
      <name val="Arial"/>
      <family val="2"/>
    </font>
    <font>
      <b/>
      <sz val="8"/>
      <name val="Arial"/>
      <family val="2"/>
    </font>
    <font>
      <sz val="9"/>
      <name val="Arial"/>
      <family val="2"/>
    </font>
    <font>
      <b/>
      <sz val="10"/>
      <name val="Times New Roman"/>
      <family val="1"/>
    </font>
    <font>
      <i/>
      <sz val="8"/>
      <color indexed="8"/>
      <name val="Arial"/>
      <family val="2"/>
    </font>
    <font>
      <b/>
      <sz val="8"/>
      <color indexed="10"/>
      <name val="Arial"/>
      <family val="2"/>
    </font>
    <font>
      <b/>
      <u/>
      <sz val="8"/>
      <color indexed="10"/>
      <name val="Arial"/>
      <family val="2"/>
    </font>
    <font>
      <sz val="8"/>
      <color indexed="10"/>
      <name val="Arial"/>
      <family val="2"/>
    </font>
    <font>
      <sz val="11"/>
      <name val="Times New Roman"/>
      <family val="1"/>
    </font>
    <font>
      <b/>
      <u/>
      <sz val="8"/>
      <name val="Arial"/>
      <family val="2"/>
    </font>
    <font>
      <b/>
      <sz val="8"/>
      <color indexed="8"/>
      <name val="Arial"/>
      <family val="2"/>
    </font>
    <font>
      <sz val="11"/>
      <color theme="1"/>
      <name val="Calibri"/>
      <family val="2"/>
      <scheme val="minor"/>
    </font>
    <font>
      <sz val="8"/>
      <color theme="1"/>
      <name val="Arial"/>
      <family val="2"/>
    </font>
    <font>
      <sz val="8"/>
      <color theme="4" tint="-0.249977111117893"/>
      <name val="Arial"/>
      <family val="2"/>
    </font>
    <font>
      <b/>
      <i/>
      <u/>
      <sz val="8"/>
      <color theme="4" tint="-0.249977111117893"/>
      <name val="Arial"/>
      <family val="2"/>
    </font>
    <font>
      <sz val="8"/>
      <color theme="0"/>
      <name val="Arial"/>
      <family val="2"/>
    </font>
    <font>
      <b/>
      <sz val="8"/>
      <color theme="1" tint="0.14999847407452621"/>
      <name val="Arial"/>
      <family val="2"/>
    </font>
    <font>
      <sz val="8"/>
      <color theme="3"/>
      <name val="Arial"/>
      <family val="2"/>
    </font>
    <font>
      <sz val="8"/>
      <color theme="1" tint="0.14999847407452621"/>
      <name val="Arial"/>
      <family val="2"/>
    </font>
    <font>
      <i/>
      <u/>
      <sz val="8"/>
      <color rgb="FFFF0000"/>
      <name val="Arial"/>
      <family val="2"/>
    </font>
    <font>
      <b/>
      <u/>
      <sz val="8"/>
      <color theme="3" tint="0.39997558519241921"/>
      <name val="Arial"/>
      <family val="2"/>
    </font>
    <font>
      <b/>
      <sz val="8"/>
      <color theme="0"/>
      <name val="Arial"/>
      <family val="2"/>
    </font>
    <font>
      <b/>
      <sz val="8"/>
      <color theme="0" tint="-0.249977111117893"/>
      <name val="Arial"/>
      <family val="2"/>
    </font>
    <font>
      <sz val="8"/>
      <color rgb="FFFF0000"/>
      <name val="Arial"/>
      <family val="2"/>
    </font>
    <font>
      <b/>
      <sz val="8"/>
      <color theme="1"/>
      <name val="Arial"/>
      <family val="2"/>
    </font>
    <font>
      <sz val="11"/>
      <color rgb="FFFF0000"/>
      <name val="Arial"/>
      <family val="2"/>
    </font>
    <font>
      <b/>
      <sz val="8"/>
      <color rgb="FFFF0000"/>
      <name val="Arial"/>
      <family val="2"/>
    </font>
  </fonts>
  <fills count="3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lightTrellis">
        <bgColor indexed="42"/>
      </patternFill>
    </fill>
    <fill>
      <patternFill patternType="lightTrellis">
        <bgColor indexed="9"/>
      </patternFill>
    </fill>
    <fill>
      <patternFill patternType="solid">
        <fgColor indexed="41"/>
        <bgColor indexed="64"/>
      </patternFill>
    </fill>
    <fill>
      <patternFill patternType="solid">
        <fgColor indexed="43"/>
        <bgColor indexed="64"/>
      </patternFill>
    </fill>
    <fill>
      <patternFill patternType="solid">
        <fgColor indexed="9"/>
        <bgColor indexed="9"/>
      </patternFill>
    </fill>
    <fill>
      <patternFill patternType="lightGray">
        <bgColor indexed="9"/>
      </patternFill>
    </fill>
    <fill>
      <patternFill patternType="solid">
        <fgColor indexed="55"/>
        <bgColor indexed="64"/>
      </patternFill>
    </fill>
    <fill>
      <patternFill patternType="solid">
        <fgColor indexed="55"/>
        <bgColor indexed="9"/>
      </patternFill>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indexed="10"/>
        <bgColor indexed="64"/>
      </patternFill>
    </fill>
    <fill>
      <patternFill patternType="solid">
        <fgColor indexed="56"/>
        <bgColor indexed="64"/>
      </patternFill>
    </fill>
    <fill>
      <patternFill patternType="solid">
        <fgColor indexed="26"/>
        <bgColor indexed="64"/>
      </patternFill>
    </fill>
    <fill>
      <patternFill patternType="solid">
        <fgColor theme="0"/>
        <bgColor indexed="64"/>
      </patternFill>
    </fill>
    <fill>
      <patternFill patternType="solid">
        <fgColor theme="0"/>
        <bgColor theme="0"/>
      </patternFill>
    </fill>
    <fill>
      <patternFill patternType="solid">
        <fgColor theme="0" tint="-0.249977111117893"/>
        <bgColor theme="0"/>
      </patternFill>
    </fill>
    <fill>
      <patternFill patternType="solid">
        <fgColor theme="1" tint="0.49998474074526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s>
  <borders count="2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9"/>
      </right>
      <top/>
      <bottom/>
      <diagonal/>
    </border>
    <border>
      <left style="medium">
        <color indexed="64"/>
      </left>
      <right style="thin">
        <color indexed="9"/>
      </right>
      <top style="thin">
        <color indexed="9"/>
      </top>
      <bottom/>
      <diagonal/>
    </border>
    <border>
      <left style="medium">
        <color indexed="64"/>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9"/>
      </top>
      <bottom/>
      <diagonal/>
    </border>
    <border>
      <left/>
      <right style="thin">
        <color indexed="9"/>
      </right>
      <top style="medium">
        <color indexed="64"/>
      </top>
      <bottom style="thin">
        <color indexed="9"/>
      </bottom>
      <diagonal/>
    </border>
    <border>
      <left style="thin">
        <color indexed="9"/>
      </left>
      <right style="thin">
        <color indexed="9"/>
      </right>
      <top style="medium">
        <color indexed="64"/>
      </top>
      <bottom/>
      <diagonal/>
    </border>
    <border>
      <left/>
      <right/>
      <top style="thin">
        <color indexed="9"/>
      </top>
      <bottom style="thin">
        <color indexed="9"/>
      </bottom>
      <diagonal/>
    </border>
    <border>
      <left style="thin">
        <color indexed="9"/>
      </left>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top/>
      <bottom style="thin">
        <color indexed="9"/>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right style="thin">
        <color indexed="9"/>
      </right>
      <top style="thin">
        <color indexed="9"/>
      </top>
      <bottom style="thin">
        <color indexed="9"/>
      </bottom>
      <diagonal/>
    </border>
    <border>
      <left/>
      <right/>
      <top style="medium">
        <color indexed="64"/>
      </top>
      <bottom/>
      <diagonal/>
    </border>
    <border>
      <left/>
      <right/>
      <top style="medium">
        <color indexed="64"/>
      </top>
      <bottom style="thin">
        <color indexed="9"/>
      </bottom>
      <diagonal/>
    </border>
    <border>
      <left/>
      <right style="thin">
        <color indexed="9"/>
      </right>
      <top style="thin">
        <color indexed="9"/>
      </top>
      <bottom/>
      <diagonal/>
    </border>
    <border>
      <left style="thin">
        <color indexed="9"/>
      </left>
      <right style="thin">
        <color indexed="9"/>
      </right>
      <top style="thin">
        <color indexed="64"/>
      </top>
      <bottom style="thin">
        <color indexed="9"/>
      </bottom>
      <diagonal/>
    </border>
    <border>
      <left/>
      <right/>
      <top/>
      <bottom style="thin">
        <color indexed="9"/>
      </bottom>
      <diagonal/>
    </border>
    <border>
      <left/>
      <right/>
      <top/>
      <bottom style="thin">
        <color indexed="64"/>
      </bottom>
      <diagonal/>
    </border>
    <border>
      <left style="thin">
        <color indexed="9"/>
      </left>
      <right/>
      <top/>
      <bottom style="thin">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64"/>
      </top>
      <bottom style="thin">
        <color indexed="9"/>
      </bottom>
      <diagonal/>
    </border>
    <border>
      <left style="thin">
        <color indexed="9"/>
      </left>
      <right/>
      <top style="double">
        <color indexed="64"/>
      </top>
      <bottom/>
      <diagonal/>
    </border>
    <border>
      <left/>
      <right/>
      <top style="thin">
        <color indexed="64"/>
      </top>
      <bottom style="thin">
        <color indexed="9"/>
      </bottom>
      <diagonal/>
    </border>
    <border>
      <left/>
      <right style="thin">
        <color indexed="9"/>
      </right>
      <top style="thin">
        <color indexed="64"/>
      </top>
      <bottom/>
      <diagonal/>
    </border>
    <border>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right style="thin">
        <color indexed="9"/>
      </right>
      <top/>
      <bottom style="thin">
        <color indexed="9"/>
      </bottom>
      <diagonal/>
    </border>
    <border>
      <left style="medium">
        <color indexed="64"/>
      </left>
      <right/>
      <top style="thin">
        <color indexed="9"/>
      </top>
      <bottom style="thin">
        <color indexed="9"/>
      </bottom>
      <diagonal/>
    </border>
    <border>
      <left style="medium">
        <color indexed="64"/>
      </left>
      <right/>
      <top style="thin">
        <color indexed="9"/>
      </top>
      <bottom/>
      <diagonal/>
    </border>
    <border>
      <left/>
      <right style="thin">
        <color indexed="9"/>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9"/>
      </left>
      <right/>
      <top style="thin">
        <color indexed="64"/>
      </top>
      <bottom/>
      <diagonal/>
    </border>
    <border>
      <left style="thin">
        <color indexed="9"/>
      </left>
      <right style="thin">
        <color indexed="9"/>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style="medium">
        <color indexed="64"/>
      </top>
      <bottom style="thin">
        <color indexed="64"/>
      </bottom>
      <diagonal/>
    </border>
    <border>
      <left style="thin">
        <color indexed="9"/>
      </left>
      <right style="thin">
        <color indexed="9"/>
      </right>
      <top style="medium">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9"/>
      </left>
      <right/>
      <top/>
      <bottom/>
      <diagonal/>
    </border>
    <border>
      <left style="medium">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9"/>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style="medium">
        <color indexed="64"/>
      </right>
      <top/>
      <bottom/>
      <diagonal/>
    </border>
    <border>
      <left style="thin">
        <color indexed="9"/>
      </left>
      <right style="medium">
        <color indexed="64"/>
      </right>
      <top style="thin">
        <color indexed="9"/>
      </top>
      <bottom style="thin">
        <color indexed="9"/>
      </bottom>
      <diagonal/>
    </border>
    <border>
      <left style="thin">
        <color indexed="9"/>
      </left>
      <right style="thin">
        <color indexed="9"/>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hair">
        <color indexed="64"/>
      </bottom>
      <diagonal/>
    </border>
    <border>
      <left style="thick">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ck">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top style="hair">
        <color indexed="64"/>
      </top>
      <bottom style="medium">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thick">
        <color indexed="64"/>
      </left>
      <right/>
      <top style="hair">
        <color indexed="64"/>
      </top>
      <bottom style="hair">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9"/>
      </left>
      <right/>
      <top style="thin">
        <color indexed="9"/>
      </top>
      <bottom style="double">
        <color indexed="64"/>
      </bottom>
      <diagonal/>
    </border>
    <border>
      <left/>
      <right style="thin">
        <color indexed="64"/>
      </right>
      <top style="thin">
        <color indexed="64"/>
      </top>
      <bottom style="medium">
        <color indexed="64"/>
      </bottom>
      <diagonal/>
    </border>
    <border>
      <left style="thin">
        <color indexed="9"/>
      </left>
      <right style="medium">
        <color indexed="64"/>
      </right>
      <top style="thin">
        <color indexed="9"/>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style="hair">
        <color indexed="64"/>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hair">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hair">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top/>
      <bottom/>
      <diagonal/>
    </border>
    <border>
      <left style="double">
        <color indexed="64"/>
      </left>
      <right style="thin">
        <color indexed="64"/>
      </right>
      <top/>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style="thin">
        <color indexed="9"/>
      </bottom>
      <diagonal/>
    </border>
    <border>
      <left style="thin">
        <color indexed="64"/>
      </left>
      <right style="medium">
        <color indexed="64"/>
      </right>
      <top/>
      <bottom style="medium">
        <color indexed="64"/>
      </bottom>
      <diagonal/>
    </border>
    <border>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right style="medium">
        <color indexed="64"/>
      </right>
      <top style="thin">
        <color indexed="9"/>
      </top>
      <bottom/>
      <diagonal/>
    </border>
    <border>
      <left style="medium">
        <color indexed="64"/>
      </left>
      <right/>
      <top style="medium">
        <color indexed="64"/>
      </top>
      <bottom style="thin">
        <color indexed="9"/>
      </bottom>
      <diagonal/>
    </border>
    <border>
      <left/>
      <right style="medium">
        <color indexed="64"/>
      </right>
      <top style="medium">
        <color indexed="64"/>
      </top>
      <bottom style="thin">
        <color indexed="9"/>
      </bottom>
      <diagonal/>
    </border>
    <border>
      <left style="thin">
        <color theme="0"/>
      </left>
      <right/>
      <top/>
      <bottom style="thick">
        <color theme="0"/>
      </bottom>
      <diagonal/>
    </border>
    <border>
      <left/>
      <right/>
      <top/>
      <bottom style="thick">
        <color theme="0"/>
      </bottom>
      <diagonal/>
    </border>
  </borders>
  <cellStyleXfs count="22">
    <xf numFmtId="0" fontId="0"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06" fillId="0" borderId="0" applyNumberFormat="0" applyFont="0" applyFill="0" applyBorder="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9" fillId="0" borderId="0"/>
    <xf numFmtId="0" fontId="2" fillId="0" borderId="0"/>
    <xf numFmtId="0" fontId="106" fillId="0" borderId="0"/>
    <xf numFmtId="0" fontId="2" fillId="0" borderId="0"/>
    <xf numFmtId="0" fontId="2" fillId="0" borderId="0"/>
    <xf numFmtId="9" fontId="36" fillId="0" borderId="0" applyFont="0" applyFill="0" applyBorder="0" applyAlignment="0" applyProtection="0"/>
    <xf numFmtId="9" fontId="2" fillId="0" borderId="0" applyFont="0" applyFill="0" applyBorder="0" applyAlignment="0" applyProtection="0"/>
    <xf numFmtId="9" fontId="119" fillId="0" borderId="0" applyFont="0" applyFill="0" applyBorder="0" applyAlignment="0" applyProtection="0"/>
  </cellStyleXfs>
  <cellXfs count="2776">
    <xf numFmtId="0" fontId="0" fillId="0" borderId="0" xfId="0"/>
    <xf numFmtId="0" fontId="22" fillId="0" borderId="0" xfId="0" applyFont="1" applyBorder="1" applyProtection="1"/>
    <xf numFmtId="0" fontId="0" fillId="0" borderId="0" xfId="0" applyBorder="1" applyProtection="1"/>
    <xf numFmtId="0" fontId="0" fillId="0" borderId="0" xfId="0" applyProtection="1"/>
    <xf numFmtId="0" fontId="15" fillId="0" borderId="0" xfId="0" applyFont="1" applyAlignment="1" applyProtection="1">
      <alignment vertical="center"/>
    </xf>
    <xf numFmtId="0" fontId="11" fillId="2" borderId="1" xfId="0" applyFont="1" applyFill="1" applyBorder="1" applyAlignment="1" applyProtection="1">
      <alignment horizontal="left" vertical="center"/>
    </xf>
    <xf numFmtId="0" fontId="4" fillId="0" borderId="0" xfId="0" applyFont="1" applyBorder="1" applyProtection="1"/>
    <xf numFmtId="0" fontId="4" fillId="0" borderId="0" xfId="0" applyFont="1" applyFill="1" applyBorder="1" applyProtection="1"/>
    <xf numFmtId="165" fontId="4" fillId="0" borderId="0" xfId="1" applyNumberFormat="1" applyFont="1" applyBorder="1" applyProtection="1"/>
    <xf numFmtId="0" fontId="6" fillId="0" borderId="0" xfId="0" applyFont="1" applyBorder="1" applyAlignment="1" applyProtection="1">
      <alignment vertical="center"/>
    </xf>
    <xf numFmtId="0" fontId="4" fillId="0" borderId="0" xfId="0" applyFont="1" applyBorder="1" applyAlignment="1" applyProtection="1">
      <alignment vertical="center"/>
    </xf>
    <xf numFmtId="165" fontId="4" fillId="0" borderId="0" xfId="1" applyNumberFormat="1" applyFon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3" borderId="0" xfId="0" applyFill="1" applyBorder="1" applyAlignment="1" applyProtection="1">
      <alignment vertical="center"/>
    </xf>
    <xf numFmtId="0" fontId="15" fillId="0" borderId="0" xfId="0" applyFont="1" applyProtection="1"/>
    <xf numFmtId="165" fontId="2" fillId="0" borderId="0" xfId="1" applyNumberFormat="1" applyProtection="1"/>
    <xf numFmtId="0" fontId="8" fillId="0" borderId="0" xfId="0" applyFont="1" applyFill="1" applyProtection="1"/>
    <xf numFmtId="0" fontId="11" fillId="0" borderId="0" xfId="0" applyFont="1" applyFill="1" applyBorder="1" applyAlignment="1" applyProtection="1">
      <alignment horizontal="center"/>
    </xf>
    <xf numFmtId="0" fontId="10" fillId="0" borderId="0" xfId="0" applyFont="1" applyFill="1" applyBorder="1" applyAlignment="1" applyProtection="1"/>
    <xf numFmtId="0" fontId="8" fillId="0" borderId="0" xfId="0" applyFont="1" applyProtection="1"/>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xf>
    <xf numFmtId="0" fontId="8" fillId="0" borderId="0" xfId="0" applyFont="1" applyAlignment="1" applyProtection="1"/>
    <xf numFmtId="0" fontId="15" fillId="0" borderId="0" xfId="0" applyFont="1" applyFill="1" applyBorder="1" applyAlignment="1" applyProtection="1">
      <alignment horizontal="left" indent="1"/>
    </xf>
    <xf numFmtId="0" fontId="15" fillId="0" borderId="0" xfId="0" applyFont="1" applyAlignment="1" applyProtection="1"/>
    <xf numFmtId="0" fontId="7" fillId="0" borderId="0" xfId="0" applyFont="1" applyFill="1" applyBorder="1" applyAlignment="1" applyProtection="1">
      <alignment horizontal="center"/>
    </xf>
    <xf numFmtId="0" fontId="8" fillId="0" borderId="0" xfId="0" applyFont="1" applyFill="1" applyBorder="1" applyProtection="1"/>
    <xf numFmtId="165" fontId="8" fillId="0" borderId="0" xfId="1" applyNumberFormat="1" applyFont="1" applyFill="1" applyBorder="1" applyProtection="1"/>
    <xf numFmtId="0" fontId="8" fillId="0" borderId="0" xfId="0" applyFont="1" applyFill="1" applyAlignment="1" applyProtection="1"/>
    <xf numFmtId="165" fontId="8" fillId="0" borderId="0" xfId="1" applyNumberFormat="1" applyFont="1" applyAlignment="1" applyProtection="1"/>
    <xf numFmtId="0" fontId="0" fillId="0" borderId="0" xfId="0" applyFill="1" applyProtection="1"/>
    <xf numFmtId="0" fontId="12" fillId="0" borderId="0" xfId="0" applyFont="1" applyAlignment="1" applyProtection="1">
      <alignment horizontal="left"/>
    </xf>
    <xf numFmtId="0" fontId="15" fillId="0" borderId="0" xfId="0" applyFont="1" applyFill="1" applyBorder="1" applyAlignment="1" applyProtection="1">
      <alignment horizontal="left" vertical="center"/>
    </xf>
    <xf numFmtId="0" fontId="21" fillId="0" borderId="0" xfId="0" applyFont="1" applyAlignment="1" applyProtection="1">
      <alignment wrapText="1"/>
    </xf>
    <xf numFmtId="0" fontId="21" fillId="0" borderId="0" xfId="0" applyFont="1" applyAlignment="1" applyProtection="1">
      <alignment vertical="center" wrapText="1"/>
    </xf>
    <xf numFmtId="0" fontId="4" fillId="0" borderId="0" xfId="0" applyFont="1" applyFill="1" applyBorder="1" applyAlignment="1" applyProtection="1">
      <alignment vertical="center"/>
    </xf>
    <xf numFmtId="0" fontId="0" fillId="0" borderId="0" xfId="0" applyFill="1" applyAlignment="1" applyProtection="1">
      <alignment vertical="center"/>
    </xf>
    <xf numFmtId="165" fontId="2" fillId="0" borderId="0" xfId="1" applyNumberFormat="1" applyAlignment="1" applyProtection="1">
      <alignment vertical="center"/>
    </xf>
    <xf numFmtId="166" fontId="15" fillId="0" borderId="0" xfId="0" applyNumberFormat="1" applyFont="1" applyBorder="1" applyAlignment="1" applyProtection="1">
      <alignment horizontal="left" vertical="center" indent="1"/>
    </xf>
    <xf numFmtId="0" fontId="11" fillId="2" borderId="0" xfId="0" applyFont="1" applyFill="1" applyBorder="1" applyAlignment="1" applyProtection="1">
      <alignment vertical="center"/>
    </xf>
    <xf numFmtId="0" fontId="11" fillId="2" borderId="2" xfId="0" applyFont="1" applyFill="1" applyBorder="1" applyAlignment="1" applyProtection="1">
      <alignment vertical="center"/>
    </xf>
    <xf numFmtId="0" fontId="11" fillId="0" borderId="0" xfId="0" applyFont="1" applyFill="1" applyBorder="1" applyAlignment="1" applyProtection="1">
      <alignment horizontal="left"/>
    </xf>
    <xf numFmtId="0" fontId="11" fillId="2" borderId="3" xfId="0" applyFont="1" applyFill="1" applyBorder="1" applyAlignment="1" applyProtection="1">
      <alignment horizontal="left" vertical="center"/>
    </xf>
    <xf numFmtId="0" fontId="0" fillId="0" borderId="0" xfId="0" applyAlignment="1" applyProtection="1">
      <alignment horizontal="left" vertical="center"/>
    </xf>
    <xf numFmtId="0" fontId="8"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15" fillId="4" borderId="4" xfId="0" applyFont="1" applyFill="1" applyBorder="1" applyAlignment="1" applyProtection="1">
      <alignment horizontal="left" vertical="center" indent="1"/>
    </xf>
    <xf numFmtId="0" fontId="13" fillId="0" borderId="0" xfId="0" applyFont="1" applyBorder="1" applyAlignment="1" applyProtection="1">
      <alignment horizontal="center" vertical="center"/>
    </xf>
    <xf numFmtId="0" fontId="15" fillId="0" borderId="0" xfId="0" applyFont="1" applyBorder="1" applyAlignment="1" applyProtection="1">
      <alignment horizontal="left" vertical="center" indent="1"/>
    </xf>
    <xf numFmtId="0" fontId="13" fillId="0" borderId="0" xfId="0" applyFont="1" applyBorder="1" applyAlignment="1" applyProtection="1">
      <alignment horizontal="left" vertical="center" indent="1"/>
    </xf>
    <xf numFmtId="166" fontId="15" fillId="0" borderId="0" xfId="0" applyNumberFormat="1" applyFont="1" applyFill="1" applyBorder="1" applyAlignment="1" applyProtection="1">
      <alignment horizontal="left" vertical="center" indent="1"/>
    </xf>
    <xf numFmtId="0" fontId="15" fillId="0" borderId="0" xfId="0" applyFont="1" applyFill="1" applyBorder="1" applyAlignment="1" applyProtection="1">
      <alignment horizontal="left" vertical="center" indent="1"/>
    </xf>
    <xf numFmtId="0" fontId="11" fillId="2" borderId="5"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7" xfId="0" applyFont="1" applyFill="1" applyBorder="1" applyAlignment="1" applyProtection="1">
      <alignment vertical="center"/>
    </xf>
    <xf numFmtId="0" fontId="10" fillId="4" borderId="8" xfId="0" applyFont="1" applyFill="1" applyBorder="1" applyAlignment="1" applyProtection="1">
      <alignment vertical="center"/>
    </xf>
    <xf numFmtId="0" fontId="13" fillId="5" borderId="1" xfId="0" applyFont="1" applyFill="1" applyBorder="1" applyAlignment="1" applyProtection="1">
      <alignment horizontal="center" vertical="center"/>
    </xf>
    <xf numFmtId="0" fontId="0" fillId="2" borderId="0" xfId="0" applyFill="1" applyAlignment="1" applyProtection="1"/>
    <xf numFmtId="0" fontId="0" fillId="2" borderId="9" xfId="0" applyFill="1" applyBorder="1" applyAlignment="1" applyProtection="1"/>
    <xf numFmtId="0" fontId="0" fillId="2" borderId="10" xfId="0" applyFill="1" applyBorder="1" applyAlignment="1" applyProtection="1"/>
    <xf numFmtId="0" fontId="0" fillId="2" borderId="2" xfId="0" applyFill="1" applyBorder="1" applyAlignment="1" applyProtection="1"/>
    <xf numFmtId="166" fontId="15" fillId="3" borderId="0" xfId="0" applyNumberFormat="1" applyFont="1" applyFill="1" applyBorder="1" applyAlignment="1" applyProtection="1">
      <alignment horizontal="left" vertical="center" indent="1"/>
    </xf>
    <xf numFmtId="0" fontId="0" fillId="3" borderId="0" xfId="0" applyFill="1" applyAlignment="1" applyProtection="1">
      <alignment vertical="center"/>
    </xf>
    <xf numFmtId="0" fontId="4" fillId="3" borderId="0" xfId="0" applyFont="1" applyFill="1" applyBorder="1" applyAlignment="1" applyProtection="1">
      <alignment vertical="center"/>
    </xf>
    <xf numFmtId="165" fontId="4" fillId="3" borderId="0" xfId="1" applyNumberFormat="1" applyFont="1" applyFill="1" applyBorder="1" applyAlignment="1" applyProtection="1">
      <alignment vertical="center"/>
    </xf>
    <xf numFmtId="0" fontId="6" fillId="3" borderId="0" xfId="0" applyFont="1" applyFill="1" applyBorder="1" applyAlignment="1" applyProtection="1">
      <alignment vertical="center"/>
    </xf>
    <xf numFmtId="0" fontId="8" fillId="3" borderId="0" xfId="0" applyFont="1" applyFill="1" applyAlignment="1" applyProtection="1">
      <alignment vertical="center"/>
    </xf>
    <xf numFmtId="0" fontId="8" fillId="3" borderId="0" xfId="0" applyFont="1" applyFill="1" applyBorder="1" applyAlignment="1" applyProtection="1">
      <alignment vertical="center"/>
    </xf>
    <xf numFmtId="0" fontId="0" fillId="3" borderId="0" xfId="0" applyFill="1" applyBorder="1" applyProtection="1"/>
    <xf numFmtId="0" fontId="4" fillId="3" borderId="0" xfId="0" applyFont="1" applyFill="1" applyBorder="1" applyProtection="1"/>
    <xf numFmtId="165" fontId="4" fillId="3" borderId="0" xfId="1" applyNumberFormat="1" applyFont="1" applyFill="1" applyBorder="1" applyProtection="1"/>
    <xf numFmtId="0" fontId="0" fillId="3" borderId="0" xfId="0" applyFill="1" applyProtection="1"/>
    <xf numFmtId="0" fontId="15" fillId="3" borderId="0" xfId="0" applyFont="1" applyFill="1" applyAlignment="1" applyProtection="1">
      <alignment vertical="center"/>
    </xf>
    <xf numFmtId="0" fontId="8" fillId="3" borderId="0" xfId="0" applyFont="1" applyFill="1" applyProtection="1"/>
    <xf numFmtId="0" fontId="12" fillId="3" borderId="0" xfId="0" applyFont="1" applyFill="1" applyProtection="1"/>
    <xf numFmtId="165" fontId="12" fillId="3" borderId="0" xfId="1" applyNumberFormat="1" applyFont="1" applyFill="1" applyProtection="1"/>
    <xf numFmtId="0" fontId="17" fillId="3" borderId="0" xfId="0" applyFont="1" applyFill="1" applyBorder="1" applyAlignment="1" applyProtection="1">
      <alignment horizontal="left"/>
    </xf>
    <xf numFmtId="0" fontId="6" fillId="3" borderId="0" xfId="0" applyFont="1" applyFill="1" applyBorder="1" applyProtection="1"/>
    <xf numFmtId="0" fontId="17" fillId="3" borderId="11" xfId="0" applyFont="1" applyFill="1" applyBorder="1" applyAlignment="1" applyProtection="1">
      <alignment horizontal="left"/>
    </xf>
    <xf numFmtId="0" fontId="15" fillId="3" borderId="0" xfId="0" applyFont="1" applyFill="1" applyProtection="1"/>
    <xf numFmtId="0" fontId="15" fillId="4" borderId="12" xfId="0" applyFont="1" applyFill="1" applyBorder="1" applyAlignment="1" applyProtection="1">
      <alignment horizontal="left" vertical="center" indent="1"/>
    </xf>
    <xf numFmtId="0" fontId="15" fillId="3" borderId="0" xfId="0" applyFont="1" applyFill="1" applyBorder="1" applyAlignment="1" applyProtection="1">
      <alignment horizontal="left" vertical="center" indent="1"/>
    </xf>
    <xf numFmtId="165" fontId="2" fillId="3" borderId="0" xfId="1" applyNumberFormat="1" applyFill="1" applyBorder="1" applyProtection="1"/>
    <xf numFmtId="0" fontId="0" fillId="3" borderId="0" xfId="0" applyFill="1" applyAlignment="1" applyProtection="1">
      <alignment horizontal="left" vertical="center"/>
    </xf>
    <xf numFmtId="0" fontId="13" fillId="3" borderId="0" xfId="0" applyFont="1" applyFill="1" applyBorder="1" applyAlignment="1" applyProtection="1">
      <alignment horizontal="left" vertical="center" indent="1"/>
    </xf>
    <xf numFmtId="0" fontId="18" fillId="3" borderId="0" xfId="0" applyFont="1" applyFill="1" applyBorder="1" applyAlignment="1" applyProtection="1">
      <alignment horizontal="left"/>
    </xf>
    <xf numFmtId="0" fontId="12" fillId="3" borderId="0" xfId="0" applyFont="1" applyFill="1" applyAlignment="1" applyProtection="1">
      <alignment horizontal="left" indent="1"/>
    </xf>
    <xf numFmtId="0" fontId="12" fillId="3" borderId="0" xfId="0" applyFont="1" applyFill="1" applyBorder="1" applyProtection="1"/>
    <xf numFmtId="0" fontId="15" fillId="4" borderId="13" xfId="0" applyFont="1" applyFill="1" applyBorder="1" applyAlignment="1" applyProtection="1">
      <alignment horizontal="left" indent="1"/>
    </xf>
    <xf numFmtId="0" fontId="4" fillId="3" borderId="0" xfId="0" applyFont="1" applyFill="1" applyProtection="1"/>
    <xf numFmtId="0" fontId="0" fillId="3" borderId="0" xfId="0" applyFill="1" applyAlignment="1" applyProtection="1"/>
    <xf numFmtId="0" fontId="12" fillId="3" borderId="0" xfId="0" applyFont="1" applyFill="1" applyBorder="1" applyAlignment="1" applyProtection="1"/>
    <xf numFmtId="166" fontId="15" fillId="4" borderId="13" xfId="0" applyNumberFormat="1" applyFont="1" applyFill="1" applyBorder="1" applyAlignment="1" applyProtection="1">
      <alignment horizontal="left" indent="1"/>
    </xf>
    <xf numFmtId="0" fontId="15" fillId="4" borderId="14" xfId="0" applyFont="1" applyFill="1" applyBorder="1" applyAlignment="1" applyProtection="1">
      <alignment horizontal="left" vertical="center" indent="1"/>
    </xf>
    <xf numFmtId="166" fontId="15" fillId="4" borderId="1" xfId="0" applyNumberFormat="1" applyFont="1" applyFill="1" applyBorder="1" applyAlignment="1" applyProtection="1">
      <alignment horizontal="left" vertical="center" indent="1"/>
    </xf>
    <xf numFmtId="0" fontId="15" fillId="4" borderId="15" xfId="0" applyFont="1" applyFill="1" applyBorder="1" applyAlignment="1" applyProtection="1">
      <alignment horizontal="left" vertical="center" indent="1"/>
    </xf>
    <xf numFmtId="166" fontId="15" fillId="4" borderId="4" xfId="0" applyNumberFormat="1" applyFont="1" applyFill="1" applyBorder="1" applyAlignment="1" applyProtection="1">
      <alignment horizontal="left" vertical="center" indent="1"/>
    </xf>
    <xf numFmtId="0" fontId="9" fillId="0" borderId="0" xfId="0" applyFont="1" applyBorder="1" applyAlignment="1" applyProtection="1"/>
    <xf numFmtId="0" fontId="9" fillId="0" borderId="0" xfId="0" applyFont="1" applyAlignment="1" applyProtection="1"/>
    <xf numFmtId="0" fontId="13" fillId="4" borderId="1" xfId="0" applyFont="1" applyFill="1" applyBorder="1" applyAlignment="1" applyProtection="1">
      <alignment vertical="top" wrapText="1"/>
    </xf>
    <xf numFmtId="0" fontId="13" fillId="4" borderId="16" xfId="0" applyFont="1" applyFill="1" applyBorder="1" applyAlignment="1" applyProtection="1">
      <alignment vertical="top"/>
    </xf>
    <xf numFmtId="0" fontId="13" fillId="4" borderId="1" xfId="0" applyFont="1" applyFill="1" applyBorder="1" applyProtection="1"/>
    <xf numFmtId="0" fontId="13" fillId="4" borderId="1" xfId="0" applyFont="1" applyFill="1" applyBorder="1" applyAlignment="1" applyProtection="1">
      <alignment vertical="top"/>
    </xf>
    <xf numFmtId="0" fontId="0" fillId="0" borderId="17" xfId="0" applyBorder="1"/>
    <xf numFmtId="0" fontId="0" fillId="0" borderId="0" xfId="0" applyBorder="1"/>
    <xf numFmtId="0" fontId="23" fillId="0" borderId="0" xfId="0" applyFont="1" applyBorder="1" applyAlignment="1">
      <alignment vertical="top" wrapText="1"/>
    </xf>
    <xf numFmtId="0" fontId="23" fillId="0" borderId="0" xfId="0" applyFont="1"/>
    <xf numFmtId="0" fontId="15" fillId="0" borderId="18" xfId="0" applyFont="1" applyBorder="1" applyAlignment="1" applyProtection="1">
      <alignment vertical="top" wrapText="1"/>
    </xf>
    <xf numFmtId="0" fontId="18" fillId="0" borderId="18" xfId="0" applyFont="1" applyBorder="1" applyAlignment="1" applyProtection="1">
      <alignment vertical="top" wrapText="1"/>
    </xf>
    <xf numFmtId="0" fontId="15" fillId="0" borderId="0" xfId="0" applyFont="1" applyAlignment="1" applyProtection="1">
      <alignment horizontal="right" vertical="top"/>
    </xf>
    <xf numFmtId="0" fontId="18" fillId="0" borderId="19" xfId="0" applyFont="1" applyBorder="1" applyAlignment="1" applyProtection="1">
      <alignment vertical="top" wrapText="1"/>
    </xf>
    <xf numFmtId="0" fontId="15" fillId="0" borderId="18" xfId="0" applyFont="1" applyBorder="1" applyAlignment="1">
      <alignment vertical="top" wrapText="1"/>
    </xf>
    <xf numFmtId="0" fontId="15" fillId="0" borderId="0" xfId="0" applyFont="1" applyAlignment="1" applyProtection="1">
      <alignment vertical="top" wrapText="1"/>
    </xf>
    <xf numFmtId="0" fontId="15" fillId="0" borderId="20" xfId="0" applyFont="1" applyBorder="1" applyAlignment="1" applyProtection="1">
      <alignment vertical="top" wrapText="1"/>
    </xf>
    <xf numFmtId="0" fontId="18" fillId="0" borderId="20" xfId="0" applyFont="1" applyBorder="1" applyAlignment="1" applyProtection="1">
      <alignment vertical="top" wrapText="1"/>
    </xf>
    <xf numFmtId="0" fontId="18" fillId="0" borderId="21" xfId="0" applyFont="1" applyBorder="1" applyAlignment="1" applyProtection="1">
      <alignment vertical="top" wrapText="1"/>
    </xf>
    <xf numFmtId="0" fontId="15" fillId="0" borderId="20" xfId="0" applyFont="1" applyBorder="1" applyAlignment="1">
      <alignment vertical="top" wrapText="1"/>
    </xf>
    <xf numFmtId="0" fontId="0" fillId="0" borderId="0" xfId="0" applyAlignment="1">
      <alignment horizontal="right"/>
    </xf>
    <xf numFmtId="0" fontId="32" fillId="0" borderId="0" xfId="0" applyFont="1" applyAlignment="1">
      <alignment vertical="top" wrapText="1"/>
    </xf>
    <xf numFmtId="0" fontId="3" fillId="0" borderId="0" xfId="0" applyFont="1"/>
    <xf numFmtId="0" fontId="18" fillId="0" borderId="22" xfId="0" applyFont="1" applyBorder="1" applyAlignment="1" applyProtection="1">
      <alignment vertical="top" wrapText="1"/>
    </xf>
    <xf numFmtId="0" fontId="15" fillId="0" borderId="23" xfId="0" applyFont="1" applyBorder="1" applyAlignment="1" applyProtection="1">
      <alignment vertical="top" wrapText="1"/>
    </xf>
    <xf numFmtId="0" fontId="18" fillId="0" borderId="24" xfId="0" applyFont="1" applyBorder="1" applyAlignment="1" applyProtection="1">
      <alignment vertical="top" wrapText="1"/>
    </xf>
    <xf numFmtId="0" fontId="15" fillId="0" borderId="25" xfId="0" applyFont="1" applyBorder="1" applyProtection="1"/>
    <xf numFmtId="0" fontId="33" fillId="0" borderId="0" xfId="0" applyFont="1"/>
    <xf numFmtId="0" fontId="15" fillId="0" borderId="9" xfId="0" applyFont="1" applyBorder="1" applyProtection="1"/>
    <xf numFmtId="0" fontId="15" fillId="0" borderId="0" xfId="0" applyFont="1" applyBorder="1" applyProtection="1"/>
    <xf numFmtId="0" fontId="15" fillId="0" borderId="26" xfId="0" applyFont="1" applyBorder="1" applyAlignment="1">
      <alignment vertical="top" wrapText="1"/>
    </xf>
    <xf numFmtId="0" fontId="15" fillId="0" borderId="0" xfId="0" applyFont="1" applyAlignment="1">
      <alignment vertical="top"/>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xf>
    <xf numFmtId="0" fontId="15" fillId="0" borderId="27" xfId="0" applyFont="1" applyBorder="1" applyAlignment="1" applyProtection="1">
      <alignment horizontal="left" vertical="top" wrapText="1"/>
    </xf>
    <xf numFmtId="0" fontId="15" fillId="0" borderId="0" xfId="0" applyFont="1" applyAlignment="1" applyProtection="1">
      <alignment horizontal="left" vertical="top" wrapText="1"/>
    </xf>
    <xf numFmtId="0" fontId="34" fillId="0" borderId="0" xfId="0" applyFont="1"/>
    <xf numFmtId="0" fontId="15" fillId="0" borderId="0" xfId="0" applyFont="1"/>
    <xf numFmtId="0" fontId="15" fillId="0" borderId="0" xfId="0" applyFont="1" applyAlignment="1" applyProtection="1">
      <alignment vertical="top"/>
    </xf>
    <xf numFmtId="0" fontId="13" fillId="4" borderId="28" xfId="0" applyFont="1" applyFill="1" applyBorder="1" applyAlignment="1" applyProtection="1">
      <alignment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18" fillId="0" borderId="21" xfId="0" applyFont="1" applyBorder="1" applyAlignment="1">
      <alignment vertical="top" wrapText="1"/>
    </xf>
    <xf numFmtId="0" fontId="18" fillId="0" borderId="26" xfId="0" applyFont="1" applyBorder="1" applyAlignment="1">
      <alignment vertical="top" wrapText="1"/>
    </xf>
    <xf numFmtId="0" fontId="18" fillId="0" borderId="24" xfId="0" applyFont="1" applyBorder="1" applyAlignment="1">
      <alignment vertical="top" wrapText="1"/>
    </xf>
    <xf numFmtId="0" fontId="18" fillId="0" borderId="0" xfId="0" applyFont="1" applyAlignment="1">
      <alignment vertical="top" wrapText="1"/>
    </xf>
    <xf numFmtId="0" fontId="18" fillId="0" borderId="0" xfId="0" applyFont="1" applyAlignment="1" applyProtection="1">
      <alignment vertical="top" wrapText="1"/>
    </xf>
    <xf numFmtId="0" fontId="15" fillId="0" borderId="26" xfId="0" applyFont="1" applyBorder="1" applyAlignment="1" applyProtection="1">
      <alignment vertical="top" wrapText="1"/>
    </xf>
    <xf numFmtId="0" fontId="15" fillId="0" borderId="0" xfId="0" applyFont="1" applyBorder="1" applyAlignment="1">
      <alignment vertical="top" wrapText="1"/>
    </xf>
    <xf numFmtId="0" fontId="15" fillId="0" borderId="0" xfId="0" applyFont="1" applyBorder="1" applyAlignment="1" applyProtection="1">
      <alignment vertical="top" wrapText="1"/>
    </xf>
    <xf numFmtId="0" fontId="15" fillId="0" borderId="0" xfId="0" applyFont="1" applyAlignment="1">
      <alignment vertical="top" wrapText="1"/>
    </xf>
    <xf numFmtId="0" fontId="23" fillId="4" borderId="1" xfId="0" applyFont="1" applyFill="1" applyBorder="1" applyAlignment="1" applyProtection="1">
      <alignment vertical="top" wrapText="1"/>
    </xf>
    <xf numFmtId="0" fontId="23" fillId="4" borderId="1" xfId="0" applyFont="1" applyFill="1" applyBorder="1" applyAlignment="1" applyProtection="1">
      <alignment vertical="top"/>
    </xf>
    <xf numFmtId="0" fontId="23" fillId="4" borderId="1" xfId="0" applyFont="1" applyFill="1" applyBorder="1" applyProtection="1"/>
    <xf numFmtId="0" fontId="15" fillId="0" borderId="18" xfId="0" applyFont="1" applyBorder="1" applyAlignment="1">
      <alignment horizontal="left" vertical="top" wrapText="1"/>
    </xf>
    <xf numFmtId="0" fontId="0" fillId="0" borderId="0" xfId="0" applyAlignment="1" applyProtection="1">
      <alignment horizontal="right" vertical="top"/>
    </xf>
    <xf numFmtId="0" fontId="15" fillId="0" borderId="20" xfId="0" applyFont="1" applyBorder="1" applyAlignment="1">
      <alignment horizontal="left" vertical="top" wrapText="1"/>
    </xf>
    <xf numFmtId="0" fontId="8" fillId="0" borderId="0" xfId="0" applyFont="1"/>
    <xf numFmtId="0" fontId="18" fillId="0" borderId="20" xfId="0" applyFont="1" applyBorder="1" applyAlignment="1">
      <alignment horizontal="left" vertical="top" wrapText="1"/>
    </xf>
    <xf numFmtId="0" fontId="32" fillId="0" borderId="0" xfId="0" applyFont="1" applyAlignment="1" applyProtection="1">
      <alignment vertical="top" wrapText="1"/>
    </xf>
    <xf numFmtId="0" fontId="15" fillId="0" borderId="26" xfId="0" applyFont="1" applyBorder="1" applyAlignment="1">
      <alignment horizontal="left" vertical="top" wrapText="1"/>
    </xf>
    <xf numFmtId="0" fontId="8" fillId="0" borderId="0" xfId="0" applyFont="1" applyAlignment="1" applyProtection="1">
      <alignment vertical="top" wrapText="1"/>
    </xf>
    <xf numFmtId="0" fontId="8" fillId="0" borderId="0" xfId="0" applyFont="1" applyAlignment="1" applyProtection="1">
      <alignment horizontal="left" vertical="top" wrapText="1"/>
    </xf>
    <xf numFmtId="0" fontId="0" fillId="0" borderId="0" xfId="0" applyAlignment="1">
      <alignment horizontal="left" vertical="top" wrapText="1"/>
    </xf>
    <xf numFmtId="0" fontId="0" fillId="0" borderId="0" xfId="0" applyAlignment="1">
      <alignment vertical="top" wrapText="1"/>
    </xf>
    <xf numFmtId="0" fontId="6" fillId="0" borderId="0" xfId="0" applyFont="1" applyFill="1" applyBorder="1" applyAlignment="1" applyProtection="1">
      <alignment vertical="center"/>
    </xf>
    <xf numFmtId="0" fontId="6" fillId="0" borderId="0" xfId="0" applyFont="1" applyFill="1" applyBorder="1" applyProtection="1"/>
    <xf numFmtId="0" fontId="11" fillId="2" borderId="10" xfId="0" applyFont="1" applyFill="1" applyBorder="1" applyAlignment="1" applyProtection="1">
      <alignment vertical="center"/>
    </xf>
    <xf numFmtId="0" fontId="13" fillId="0" borderId="0" xfId="0" applyFont="1" applyFill="1" applyBorder="1" applyAlignment="1" applyProtection="1">
      <alignment horizontal="left" vertical="center" wrapText="1"/>
    </xf>
    <xf numFmtId="0" fontId="12" fillId="0" borderId="0" xfId="0" applyFont="1" applyFill="1" applyBorder="1" applyAlignment="1" applyProtection="1"/>
    <xf numFmtId="0" fontId="15" fillId="0" borderId="0" xfId="0" applyFont="1" applyFill="1" applyAlignment="1" applyProtection="1">
      <alignment vertical="center"/>
    </xf>
    <xf numFmtId="0" fontId="21" fillId="0" borderId="0" xfId="0" applyFont="1" applyFill="1" applyBorder="1" applyAlignment="1" applyProtection="1">
      <alignment horizontal="left" vertical="center"/>
    </xf>
    <xf numFmtId="0" fontId="6" fillId="0" borderId="0" xfId="0" applyFont="1" applyFill="1" applyBorder="1" applyAlignment="1" applyProtection="1">
      <alignment horizontal="left"/>
    </xf>
    <xf numFmtId="0" fontId="12" fillId="0" borderId="0" xfId="0" applyFont="1" applyFill="1" applyBorder="1" applyAlignment="1" applyProtection="1">
      <alignment horizontal="left" vertical="center"/>
    </xf>
    <xf numFmtId="0" fontId="2" fillId="0" borderId="0" xfId="0" applyFont="1" applyAlignment="1" applyProtection="1">
      <alignment vertical="center"/>
    </xf>
    <xf numFmtId="0" fontId="12" fillId="0" borderId="0" xfId="0" applyFont="1" applyFill="1" applyBorder="1" applyProtection="1"/>
    <xf numFmtId="0" fontId="12" fillId="0" borderId="0" xfId="0" applyFont="1" applyFill="1" applyBorder="1" applyAlignment="1" applyProtection="1">
      <alignment horizontal="left" indent="1"/>
    </xf>
    <xf numFmtId="0" fontId="12" fillId="0" borderId="0" xfId="0" applyFont="1" applyFill="1" applyProtection="1"/>
    <xf numFmtId="0" fontId="12" fillId="0" borderId="0" xfId="0" applyFont="1" applyFill="1" applyBorder="1" applyAlignment="1" applyProtection="1">
      <alignment horizontal="left" vertical="center" wrapText="1"/>
    </xf>
    <xf numFmtId="167" fontId="13" fillId="0" borderId="0" xfId="0" applyNumberFormat="1" applyFont="1" applyFill="1" applyBorder="1" applyAlignment="1" applyProtection="1">
      <alignment horizontal="right" vertical="center"/>
    </xf>
    <xf numFmtId="0" fontId="2" fillId="0" borderId="0" xfId="0" applyFont="1" applyFill="1" applyBorder="1" applyAlignment="1" applyProtection="1"/>
    <xf numFmtId="0" fontId="13" fillId="5" borderId="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12" xfId="0" applyFont="1" applyFill="1" applyBorder="1" applyAlignment="1" applyProtection="1">
      <alignment horizontal="center" vertical="center" wrapText="1"/>
    </xf>
    <xf numFmtId="0" fontId="8" fillId="0" borderId="0" xfId="0" applyFont="1" applyFill="1" applyAlignment="1" applyProtection="1">
      <alignment wrapText="1"/>
    </xf>
    <xf numFmtId="0" fontId="12" fillId="0" borderId="0" xfId="0" applyFont="1" applyAlignment="1" applyProtection="1">
      <alignment vertical="center"/>
    </xf>
    <xf numFmtId="165" fontId="12" fillId="0" borderId="0" xfId="1" applyNumberFormat="1" applyFont="1" applyBorder="1" applyAlignment="1" applyProtection="1">
      <alignment vertical="center"/>
    </xf>
    <xf numFmtId="167" fontId="12" fillId="0" borderId="0" xfId="0" applyNumberFormat="1" applyFont="1" applyFill="1" applyBorder="1" applyAlignment="1" applyProtection="1">
      <alignment horizontal="right" vertical="center"/>
    </xf>
    <xf numFmtId="167" fontId="12" fillId="4" borderId="1" xfId="0" applyNumberFormat="1" applyFont="1" applyFill="1" applyBorder="1" applyAlignment="1" applyProtection="1">
      <alignment horizontal="right" vertical="center"/>
    </xf>
    <xf numFmtId="0" fontId="2" fillId="0" borderId="0" xfId="0" applyFont="1" applyFill="1" applyProtection="1"/>
    <xf numFmtId="0" fontId="2" fillId="0" borderId="0" xfId="0" applyFont="1" applyFill="1" applyBorder="1" applyProtection="1"/>
    <xf numFmtId="0" fontId="12" fillId="0" borderId="0" xfId="0" applyFont="1" applyAlignment="1" applyProtection="1"/>
    <xf numFmtId="166" fontId="12" fillId="0" borderId="0" xfId="0" applyNumberFormat="1" applyFont="1" applyFill="1" applyBorder="1" applyAlignment="1" applyProtection="1">
      <alignment vertical="center"/>
    </xf>
    <xf numFmtId="0" fontId="12" fillId="0" borderId="0" xfId="0" applyFont="1" applyFill="1" applyBorder="1" applyAlignment="1" applyProtection="1">
      <alignment horizontal="center"/>
    </xf>
    <xf numFmtId="0" fontId="15" fillId="0" borderId="29" xfId="0" applyFont="1" applyBorder="1" applyAlignment="1" applyProtection="1">
      <alignment vertical="center"/>
    </xf>
    <xf numFmtId="0" fontId="15" fillId="0" borderId="30" xfId="0" applyFont="1" applyBorder="1" applyAlignment="1" applyProtection="1">
      <alignment vertical="center"/>
    </xf>
    <xf numFmtId="0" fontId="15" fillId="0" borderId="31" xfId="0" applyFont="1" applyBorder="1" applyAlignment="1" applyProtection="1">
      <alignment vertical="center"/>
    </xf>
    <xf numFmtId="0" fontId="15" fillId="0" borderId="32" xfId="0" applyFont="1" applyBorder="1" applyAlignment="1" applyProtection="1">
      <alignment vertical="center"/>
    </xf>
    <xf numFmtId="0" fontId="15" fillId="0" borderId="33" xfId="0" applyFont="1" applyBorder="1" applyAlignment="1" applyProtection="1">
      <alignment vertical="center"/>
    </xf>
    <xf numFmtId="0" fontId="15" fillId="0" borderId="34" xfId="0" applyFont="1" applyBorder="1" applyAlignment="1" applyProtection="1">
      <alignment vertical="center"/>
    </xf>
    <xf numFmtId="0" fontId="6" fillId="0" borderId="35" xfId="0" applyFont="1" applyFill="1" applyBorder="1" applyAlignment="1" applyProtection="1">
      <alignment vertical="center"/>
    </xf>
    <xf numFmtId="0" fontId="11" fillId="0" borderId="36" xfId="0" applyFont="1" applyFill="1" applyBorder="1" applyAlignment="1" applyProtection="1">
      <alignment vertical="center"/>
    </xf>
    <xf numFmtId="0" fontId="11" fillId="0" borderId="37" xfId="0" applyFont="1" applyFill="1" applyBorder="1" applyAlignment="1" applyProtection="1">
      <alignment vertical="center"/>
    </xf>
    <xf numFmtId="0" fontId="11" fillId="0" borderId="32" xfId="0" applyFont="1" applyFill="1" applyBorder="1" applyAlignment="1" applyProtection="1">
      <alignment vertical="center"/>
    </xf>
    <xf numFmtId="0" fontId="15" fillId="0" borderId="38" xfId="0" applyFont="1" applyFill="1" applyBorder="1" applyAlignment="1" applyProtection="1">
      <alignment horizontal="left" vertical="center" indent="1"/>
    </xf>
    <xf numFmtId="0" fontId="15" fillId="0" borderId="38" xfId="0" applyFont="1" applyFill="1" applyBorder="1" applyAlignment="1" applyProtection="1">
      <alignment vertical="center"/>
    </xf>
    <xf numFmtId="0" fontId="15" fillId="0" borderId="32" xfId="0" applyFont="1" applyFill="1" applyBorder="1" applyAlignment="1" applyProtection="1">
      <alignment horizontal="left" vertical="center" indent="1"/>
    </xf>
    <xf numFmtId="0" fontId="15" fillId="0" borderId="39" xfId="0" applyFont="1" applyFill="1" applyBorder="1" applyAlignment="1" applyProtection="1">
      <alignment horizontal="left" vertical="center" indent="1"/>
    </xf>
    <xf numFmtId="0" fontId="15" fillId="0" borderId="40" xfId="0" applyFont="1" applyFill="1" applyBorder="1" applyAlignment="1" applyProtection="1">
      <alignment horizontal="left" vertical="center" indent="1"/>
    </xf>
    <xf numFmtId="0" fontId="15" fillId="0" borderId="34" xfId="0" applyFont="1" applyFill="1" applyBorder="1" applyAlignment="1" applyProtection="1">
      <alignment horizontal="left" vertical="center" indent="1"/>
    </xf>
    <xf numFmtId="0" fontId="15" fillId="0" borderId="41" xfId="0" applyFont="1" applyFill="1" applyBorder="1" applyAlignment="1" applyProtection="1">
      <alignment vertical="center"/>
    </xf>
    <xf numFmtId="0" fontId="15" fillId="0" borderId="32" xfId="0" applyFont="1" applyFill="1" applyBorder="1" applyAlignment="1" applyProtection="1">
      <alignment vertical="center"/>
    </xf>
    <xf numFmtId="0" fontId="15" fillId="0" borderId="34" xfId="0" applyFont="1" applyFill="1" applyBorder="1" applyAlignment="1" applyProtection="1">
      <alignment vertical="center"/>
    </xf>
    <xf numFmtId="0" fontId="11" fillId="0" borderId="35" xfId="0" applyFont="1" applyFill="1" applyBorder="1" applyAlignment="1" applyProtection="1">
      <alignment vertical="center"/>
    </xf>
    <xf numFmtId="0" fontId="9" fillId="0" borderId="42" xfId="0" applyFont="1" applyFill="1" applyBorder="1" applyAlignment="1" applyProtection="1">
      <alignment horizontal="center" wrapText="1"/>
    </xf>
    <xf numFmtId="0" fontId="9" fillId="0" borderId="43" xfId="0" applyFont="1" applyFill="1" applyBorder="1" applyAlignment="1" applyProtection="1">
      <alignment horizontal="center" wrapText="1"/>
    </xf>
    <xf numFmtId="0" fontId="9" fillId="0" borderId="44" xfId="0" applyFont="1" applyFill="1" applyBorder="1" applyAlignment="1" applyProtection="1">
      <alignment horizontal="center" wrapText="1"/>
    </xf>
    <xf numFmtId="0" fontId="6" fillId="0" borderId="34" xfId="0" applyFont="1" applyFill="1" applyBorder="1" applyAlignment="1" applyProtection="1">
      <alignment horizontal="left"/>
    </xf>
    <xf numFmtId="0" fontId="17" fillId="0" borderId="34" xfId="0" applyFont="1" applyFill="1" applyBorder="1" applyAlignment="1" applyProtection="1">
      <alignment horizontal="left"/>
    </xf>
    <xf numFmtId="0" fontId="6" fillId="0" borderId="33" xfId="0" applyFont="1" applyFill="1" applyBorder="1" applyAlignment="1" applyProtection="1">
      <alignment horizontal="left"/>
    </xf>
    <xf numFmtId="0" fontId="15" fillId="3" borderId="0" xfId="0" applyFont="1" applyFill="1" applyBorder="1" applyAlignment="1" applyProtection="1">
      <alignment vertical="center"/>
    </xf>
    <xf numFmtId="0" fontId="15" fillId="3" borderId="35" xfId="0" applyFont="1" applyFill="1" applyBorder="1" applyAlignment="1" applyProtection="1">
      <alignment vertical="center"/>
    </xf>
    <xf numFmtId="167" fontId="15" fillId="0" borderId="45" xfId="0" applyNumberFormat="1" applyFont="1" applyFill="1" applyBorder="1" applyAlignment="1" applyProtection="1">
      <alignment horizontal="right" vertical="center"/>
    </xf>
    <xf numFmtId="167" fontId="15" fillId="0" borderId="46" xfId="0" applyNumberFormat="1" applyFont="1" applyFill="1" applyBorder="1" applyAlignment="1" applyProtection="1">
      <alignment horizontal="right" vertical="center"/>
    </xf>
    <xf numFmtId="0" fontId="12" fillId="0" borderId="46" xfId="0" applyFont="1" applyFill="1" applyBorder="1" applyAlignment="1" applyProtection="1">
      <alignment horizontal="left" vertical="center" wrapText="1"/>
    </xf>
    <xf numFmtId="0" fontId="15" fillId="0" borderId="4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xf>
    <xf numFmtId="0" fontId="15" fillId="0" borderId="47" xfId="0" applyFont="1" applyFill="1" applyBorder="1" applyAlignment="1" applyProtection="1">
      <alignment horizontal="left" vertical="center"/>
    </xf>
    <xf numFmtId="0" fontId="0" fillId="0" borderId="33" xfId="0" applyFill="1" applyBorder="1" applyAlignment="1" applyProtection="1">
      <alignment vertical="center"/>
    </xf>
    <xf numFmtId="0" fontId="13" fillId="0" borderId="46" xfId="0" applyFont="1" applyFill="1" applyBorder="1" applyAlignment="1" applyProtection="1">
      <alignment horizontal="left" vertical="center" wrapText="1"/>
    </xf>
    <xf numFmtId="0" fontId="13" fillId="0" borderId="46" xfId="0" applyFont="1" applyFill="1" applyBorder="1" applyAlignment="1" applyProtection="1">
      <alignment horizontal="center" vertical="center" wrapText="1"/>
    </xf>
    <xf numFmtId="0" fontId="2" fillId="0" borderId="46" xfId="0" applyFont="1" applyFill="1" applyBorder="1" applyAlignment="1" applyProtection="1">
      <alignment vertical="center"/>
    </xf>
    <xf numFmtId="0" fontId="4" fillId="3" borderId="34" xfId="0" applyFont="1" applyFill="1" applyBorder="1" applyProtection="1"/>
    <xf numFmtId="0" fontId="6" fillId="0" borderId="46" xfId="0" applyFont="1" applyFill="1" applyBorder="1" applyAlignment="1" applyProtection="1">
      <alignment horizontal="left"/>
    </xf>
    <xf numFmtId="0" fontId="6" fillId="0" borderId="48" xfId="0" applyFont="1" applyFill="1" applyBorder="1" applyAlignment="1" applyProtection="1">
      <alignment horizontal="left"/>
    </xf>
    <xf numFmtId="0" fontId="12" fillId="0" borderId="49" xfId="0" applyFont="1" applyFill="1" applyBorder="1" applyAlignment="1" applyProtection="1">
      <alignment horizontal="left" indent="1"/>
    </xf>
    <xf numFmtId="0" fontId="13" fillId="0" borderId="50" xfId="0" applyFont="1" applyFill="1" applyBorder="1" applyAlignment="1" applyProtection="1">
      <alignment vertical="center"/>
    </xf>
    <xf numFmtId="0" fontId="2" fillId="0" borderId="39" xfId="0" applyFont="1" applyFill="1" applyBorder="1" applyAlignment="1" applyProtection="1"/>
    <xf numFmtId="0" fontId="2" fillId="0" borderId="38" xfId="0" applyFont="1" applyFill="1" applyBorder="1" applyAlignment="1" applyProtection="1"/>
    <xf numFmtId="0" fontId="13" fillId="0" borderId="51" xfId="0" applyFont="1" applyFill="1" applyBorder="1" applyAlignment="1" applyProtection="1">
      <alignment vertical="center"/>
    </xf>
    <xf numFmtId="0" fontId="2" fillId="0" borderId="34" xfId="0" applyFont="1" applyFill="1" applyBorder="1" applyAlignment="1" applyProtection="1"/>
    <xf numFmtId="0" fontId="12" fillId="0" borderId="38" xfId="0" applyFont="1" applyFill="1" applyBorder="1" applyAlignment="1" applyProtection="1">
      <alignment horizontal="left" indent="1"/>
    </xf>
    <xf numFmtId="0" fontId="2" fillId="0" borderId="40" xfId="0" applyFont="1" applyFill="1" applyBorder="1" applyAlignment="1" applyProtection="1"/>
    <xf numFmtId="0" fontId="12" fillId="0" borderId="41" xfId="0" applyFont="1" applyFill="1" applyBorder="1" applyAlignment="1" applyProtection="1">
      <alignment horizontal="left" indent="1"/>
    </xf>
    <xf numFmtId="0" fontId="12" fillId="0" borderId="32" xfId="0" applyFont="1" applyFill="1" applyBorder="1" applyAlignment="1" applyProtection="1">
      <alignment horizontal="left" indent="1"/>
    </xf>
    <xf numFmtId="0" fontId="12" fillId="0" borderId="40" xfId="0" applyFont="1" applyFill="1" applyBorder="1" applyAlignment="1" applyProtection="1">
      <alignment horizontal="left" indent="1"/>
    </xf>
    <xf numFmtId="0" fontId="12" fillId="0" borderId="39" xfId="0" applyFont="1" applyFill="1" applyBorder="1" applyAlignment="1" applyProtection="1">
      <alignment horizontal="left" indent="1"/>
    </xf>
    <xf numFmtId="0" fontId="12" fillId="0" borderId="35" xfId="0" applyFont="1" applyFill="1" applyBorder="1" applyProtection="1"/>
    <xf numFmtId="0" fontId="12" fillId="0" borderId="47" xfId="0" applyFont="1" applyFill="1" applyBorder="1" applyProtection="1"/>
    <xf numFmtId="0" fontId="12" fillId="0" borderId="34" xfId="0" applyFont="1" applyFill="1" applyBorder="1" applyAlignment="1" applyProtection="1">
      <alignment horizontal="left" indent="1"/>
    </xf>
    <xf numFmtId="0" fontId="12" fillId="0" borderId="41" xfId="0" applyFont="1" applyFill="1" applyBorder="1" applyProtection="1"/>
    <xf numFmtId="0" fontId="12" fillId="0" borderId="33" xfId="0" applyFont="1" applyFill="1" applyBorder="1" applyProtection="1"/>
    <xf numFmtId="0" fontId="12" fillId="0" borderId="34" xfId="0" applyFont="1" applyFill="1" applyBorder="1" applyProtection="1"/>
    <xf numFmtId="0" fontId="12" fillId="0" borderId="32" xfId="0" applyFont="1" applyFill="1" applyBorder="1" applyProtection="1"/>
    <xf numFmtId="0" fontId="8" fillId="0" borderId="34" xfId="0" applyFont="1" applyBorder="1" applyAlignment="1" applyProtection="1"/>
    <xf numFmtId="0" fontId="15" fillId="0" borderId="34" xfId="0" applyFont="1" applyBorder="1" applyAlignment="1" applyProtection="1"/>
    <xf numFmtId="0" fontId="13" fillId="0" borderId="34" xfId="0" applyFont="1" applyFill="1" applyBorder="1" applyAlignment="1" applyProtection="1">
      <alignment vertical="top"/>
    </xf>
    <xf numFmtId="0" fontId="12" fillId="0" borderId="34" xfId="0" applyFont="1" applyFill="1" applyBorder="1" applyAlignment="1" applyProtection="1">
      <alignment vertical="center"/>
    </xf>
    <xf numFmtId="0" fontId="13" fillId="0" borderId="34" xfId="0" applyFont="1" applyFill="1" applyBorder="1" applyAlignment="1" applyProtection="1">
      <alignment horizontal="center" vertical="top"/>
    </xf>
    <xf numFmtId="0" fontId="13" fillId="0" borderId="27" xfId="0" applyFont="1" applyFill="1" applyBorder="1" applyAlignment="1" applyProtection="1">
      <alignment vertical="top"/>
    </xf>
    <xf numFmtId="0" fontId="13" fillId="0" borderId="52" xfId="0" applyFont="1" applyFill="1" applyBorder="1" applyAlignment="1" applyProtection="1">
      <alignment vertical="center"/>
    </xf>
    <xf numFmtId="0" fontId="10" fillId="0" borderId="34" xfId="0" applyFont="1" applyFill="1" applyBorder="1" applyAlignment="1" applyProtection="1"/>
    <xf numFmtId="0" fontId="8" fillId="0" borderId="48" xfId="0" applyFont="1" applyBorder="1" applyAlignment="1" applyProtection="1"/>
    <xf numFmtId="0" fontId="8" fillId="0" borderId="53" xfId="0" applyFont="1" applyBorder="1" applyAlignment="1" applyProtection="1"/>
    <xf numFmtId="0" fontId="8" fillId="0" borderId="38" xfId="0" applyFont="1" applyBorder="1" applyAlignment="1" applyProtection="1"/>
    <xf numFmtId="0" fontId="18" fillId="0" borderId="34" xfId="0" applyFont="1" applyFill="1" applyBorder="1" applyAlignment="1" applyProtection="1"/>
    <xf numFmtId="0" fontId="12" fillId="0" borderId="34" xfId="0" applyFont="1" applyFill="1" applyBorder="1" applyAlignment="1" applyProtection="1">
      <alignment horizontal="left" vertical="top"/>
    </xf>
    <xf numFmtId="166" fontId="15" fillId="4" borderId="54" xfId="0" applyNumberFormat="1" applyFont="1" applyFill="1" applyBorder="1" applyAlignment="1" applyProtection="1">
      <alignment horizontal="left"/>
    </xf>
    <xf numFmtId="0" fontId="15" fillId="0" borderId="34" xfId="0" applyFont="1" applyFill="1" applyBorder="1" applyAlignment="1" applyProtection="1"/>
    <xf numFmtId="0" fontId="15" fillId="0" borderId="41" xfId="0" applyFont="1" applyBorder="1" applyAlignment="1" applyProtection="1"/>
    <xf numFmtId="0" fontId="15" fillId="0" borderId="45" xfId="0" applyFont="1" applyFill="1" applyBorder="1" applyAlignment="1" applyProtection="1"/>
    <xf numFmtId="0" fontId="15" fillId="0" borderId="53" xfId="0" applyFont="1" applyFill="1" applyBorder="1" applyAlignment="1" applyProtection="1"/>
    <xf numFmtId="0" fontId="15" fillId="0" borderId="38" xfId="0" applyFont="1" applyFill="1" applyBorder="1" applyAlignment="1" applyProtection="1"/>
    <xf numFmtId="0" fontId="15" fillId="0" borderId="48" xfId="0" applyFont="1" applyFill="1" applyBorder="1" applyAlignment="1" applyProtection="1"/>
    <xf numFmtId="166" fontId="15" fillId="0" borderId="33" xfId="0" applyNumberFormat="1" applyFont="1" applyFill="1" applyBorder="1" applyAlignment="1" applyProtection="1">
      <alignment vertical="center"/>
    </xf>
    <xf numFmtId="166" fontId="15" fillId="0" borderId="51" xfId="0" applyNumberFormat="1" applyFont="1" applyFill="1" applyBorder="1" applyAlignment="1" applyProtection="1">
      <alignment vertical="center"/>
    </xf>
    <xf numFmtId="0" fontId="12" fillId="0" borderId="34" xfId="0" applyFont="1" applyFill="1" applyBorder="1" applyAlignment="1" applyProtection="1"/>
    <xf numFmtId="0" fontId="15" fillId="0" borderId="55" xfId="0" applyFont="1" applyBorder="1" applyAlignment="1" applyProtection="1"/>
    <xf numFmtId="0" fontId="15" fillId="0" borderId="46" xfId="0" applyFont="1" applyBorder="1" applyAlignment="1" applyProtection="1"/>
    <xf numFmtId="0" fontId="13" fillId="0" borderId="13" xfId="0" applyFont="1" applyBorder="1" applyAlignment="1" applyProtection="1">
      <alignment horizontal="center" vertical="center"/>
      <protection locked="0"/>
    </xf>
    <xf numFmtId="0" fontId="15" fillId="0" borderId="45" xfId="0" applyFont="1" applyBorder="1" applyAlignment="1" applyProtection="1"/>
    <xf numFmtId="0" fontId="15" fillId="0" borderId="46" xfId="0" applyFont="1" applyFill="1" applyBorder="1" applyAlignment="1" applyProtection="1"/>
    <xf numFmtId="0" fontId="8" fillId="0" borderId="33" xfId="0" applyFont="1" applyBorder="1" applyAlignment="1" applyProtection="1"/>
    <xf numFmtId="0" fontId="4" fillId="0" borderId="56" xfId="0" applyFont="1" applyFill="1" applyBorder="1" applyAlignment="1" applyProtection="1">
      <alignment vertical="center"/>
    </xf>
    <xf numFmtId="0" fontId="4" fillId="0" borderId="56" xfId="0" applyFont="1" applyBorder="1" applyAlignment="1" applyProtection="1">
      <alignment vertical="center"/>
    </xf>
    <xf numFmtId="165" fontId="4" fillId="0" borderId="47" xfId="1" applyNumberFormat="1" applyFont="1" applyBorder="1" applyAlignment="1" applyProtection="1">
      <alignment vertical="center"/>
    </xf>
    <xf numFmtId="0" fontId="21" fillId="0" borderId="34" xfId="0" applyFont="1" applyBorder="1" applyAlignment="1" applyProtection="1">
      <alignment wrapText="1"/>
    </xf>
    <xf numFmtId="165" fontId="4" fillId="0" borderId="34" xfId="1" applyNumberFormat="1" applyFont="1" applyBorder="1" applyProtection="1"/>
    <xf numFmtId="0" fontId="4" fillId="0" borderId="51" xfId="0" applyFont="1" applyBorder="1" applyProtection="1"/>
    <xf numFmtId="0" fontId="4" fillId="0" borderId="34" xfId="0" applyFont="1" applyBorder="1" applyProtection="1"/>
    <xf numFmtId="0" fontId="4" fillId="0" borderId="33" xfId="0" applyFont="1" applyBorder="1" applyProtection="1"/>
    <xf numFmtId="0" fontId="4" fillId="0" borderId="51" xfId="0" applyFont="1" applyFill="1" applyBorder="1" applyProtection="1"/>
    <xf numFmtId="0" fontId="4" fillId="0" borderId="39" xfId="0" applyFont="1" applyBorder="1" applyProtection="1"/>
    <xf numFmtId="0" fontId="4" fillId="0" borderId="35" xfId="0" applyFont="1" applyFill="1" applyBorder="1" applyProtection="1"/>
    <xf numFmtId="0" fontId="4" fillId="0" borderId="36" xfId="0" applyFont="1" applyBorder="1" applyProtection="1"/>
    <xf numFmtId="0" fontId="4" fillId="0" borderId="40" xfId="0" applyFont="1" applyBorder="1" applyProtection="1"/>
    <xf numFmtId="0" fontId="6" fillId="0" borderId="35" xfId="0" applyFont="1" applyFill="1" applyBorder="1" applyProtection="1"/>
    <xf numFmtId="0" fontId="21" fillId="0" borderId="32" xfId="0" applyFont="1" applyBorder="1" applyAlignment="1" applyProtection="1">
      <alignment wrapText="1"/>
    </xf>
    <xf numFmtId="0" fontId="4" fillId="0" borderId="32" xfId="0" applyFont="1" applyBorder="1" applyAlignment="1" applyProtection="1">
      <alignment vertical="center"/>
    </xf>
    <xf numFmtId="165" fontId="4" fillId="0" borderId="32" xfId="1" applyNumberFormat="1" applyFont="1" applyBorder="1" applyProtection="1"/>
    <xf numFmtId="0" fontId="16" fillId="0" borderId="34" xfId="0" applyFont="1" applyBorder="1" applyAlignment="1" applyProtection="1">
      <alignment wrapText="1"/>
    </xf>
    <xf numFmtId="0" fontId="0" fillId="0" borderId="34" xfId="0" applyBorder="1" applyProtection="1"/>
    <xf numFmtId="0" fontId="0" fillId="0" borderId="34" xfId="0" applyBorder="1" applyAlignment="1" applyProtection="1">
      <alignment vertical="center"/>
    </xf>
    <xf numFmtId="0" fontId="11" fillId="0" borderId="38" xfId="0" applyFont="1" applyFill="1" applyBorder="1" applyAlignment="1" applyProtection="1">
      <alignment horizontal="center"/>
    </xf>
    <xf numFmtId="0" fontId="10" fillId="0" borderId="48" xfId="0" applyFont="1" applyFill="1" applyBorder="1" applyAlignment="1" applyProtection="1"/>
    <xf numFmtId="0" fontId="13" fillId="0" borderId="52" xfId="0" applyFont="1" applyFill="1" applyBorder="1" applyAlignment="1" applyProtection="1">
      <alignment vertical="top"/>
    </xf>
    <xf numFmtId="0" fontId="13" fillId="0" borderId="57" xfId="0" applyFont="1" applyFill="1" applyBorder="1" applyAlignment="1" applyProtection="1">
      <alignment vertical="center"/>
    </xf>
    <xf numFmtId="0" fontId="12" fillId="0" borderId="52" xfId="0" applyFont="1" applyFill="1" applyBorder="1" applyProtection="1"/>
    <xf numFmtId="0" fontId="12" fillId="0" borderId="58" xfId="0" applyFont="1" applyFill="1" applyBorder="1" applyProtection="1"/>
    <xf numFmtId="0" fontId="12" fillId="0" borderId="27" xfId="0" applyFont="1" applyFill="1" applyBorder="1" applyProtection="1"/>
    <xf numFmtId="0" fontId="12" fillId="0" borderId="59" xfId="0" applyFont="1" applyFill="1" applyBorder="1" applyProtection="1"/>
    <xf numFmtId="0" fontId="12" fillId="0" borderId="60" xfId="0" applyFont="1" applyFill="1" applyBorder="1" applyProtection="1"/>
    <xf numFmtId="0" fontId="12" fillId="0" borderId="61" xfId="0" applyFont="1" applyFill="1" applyBorder="1" applyProtection="1"/>
    <xf numFmtId="0" fontId="12" fillId="0" borderId="57" xfId="0" applyFont="1" applyFill="1" applyBorder="1" applyProtection="1"/>
    <xf numFmtId="0" fontId="11" fillId="0" borderId="48" xfId="0" applyFont="1" applyFill="1" applyBorder="1" applyAlignment="1" applyProtection="1">
      <alignment horizontal="center"/>
    </xf>
    <xf numFmtId="0" fontId="12" fillId="0" borderId="62" xfId="0" applyFont="1" applyFill="1" applyBorder="1" applyAlignment="1" applyProtection="1"/>
    <xf numFmtId="0" fontId="12" fillId="0" borderId="51" xfId="0" applyFont="1" applyBorder="1" applyAlignment="1" applyProtection="1"/>
    <xf numFmtId="0" fontId="12" fillId="0" borderId="48" xfId="0" applyFont="1" applyBorder="1" applyAlignment="1" applyProtection="1"/>
    <xf numFmtId="0" fontId="12" fillId="0" borderId="35" xfId="0" applyFont="1" applyFill="1" applyBorder="1" applyAlignment="1" applyProtection="1"/>
    <xf numFmtId="0" fontId="12" fillId="0" borderId="32" xfId="0" applyFont="1" applyFill="1" applyBorder="1" applyAlignment="1" applyProtection="1"/>
    <xf numFmtId="0" fontId="10" fillId="0" borderId="32" xfId="0" applyFont="1" applyFill="1" applyBorder="1" applyAlignment="1" applyProtection="1"/>
    <xf numFmtId="4" fontId="12" fillId="0" borderId="34" xfId="0" applyNumberFormat="1" applyFont="1" applyFill="1" applyBorder="1" applyAlignment="1" applyProtection="1">
      <alignment horizontal="right" vertical="center"/>
    </xf>
    <xf numFmtId="0" fontId="12" fillId="0" borderId="34" xfId="0" applyFont="1" applyBorder="1" applyAlignment="1" applyProtection="1"/>
    <xf numFmtId="0" fontId="2" fillId="0" borderId="34" xfId="0" applyFont="1" applyBorder="1" applyAlignment="1" applyProtection="1"/>
    <xf numFmtId="0" fontId="2" fillId="0" borderId="48" xfId="0" applyFont="1" applyBorder="1" applyAlignment="1" applyProtection="1"/>
    <xf numFmtId="0" fontId="12" fillId="0" borderId="33" xfId="0" applyFont="1" applyBorder="1" applyAlignment="1" applyProtection="1"/>
    <xf numFmtId="0" fontId="12" fillId="0" borderId="33" xfId="0" applyFont="1" applyFill="1" applyBorder="1" applyAlignment="1" applyProtection="1"/>
    <xf numFmtId="0" fontId="12" fillId="0" borderId="48" xfId="0" applyFont="1" applyFill="1" applyBorder="1" applyAlignment="1" applyProtection="1"/>
    <xf numFmtId="0" fontId="2" fillId="0" borderId="63" xfId="0" applyFont="1" applyBorder="1" applyAlignment="1" applyProtection="1"/>
    <xf numFmtId="0" fontId="12" fillId="0" borderId="34" xfId="0" applyFont="1" applyBorder="1" applyAlignment="1" applyProtection="1">
      <alignment vertical="center"/>
    </xf>
    <xf numFmtId="0" fontId="20" fillId="0" borderId="34" xfId="0" quotePrefix="1" applyFont="1" applyBorder="1" applyAlignment="1" applyProtection="1"/>
    <xf numFmtId="0" fontId="12" fillId="0" borderId="47" xfId="0" applyFont="1" applyBorder="1" applyAlignment="1" applyProtection="1"/>
    <xf numFmtId="0" fontId="12" fillId="0" borderId="64" xfId="0" applyFont="1" applyBorder="1" applyAlignment="1" applyProtection="1"/>
    <xf numFmtId="0" fontId="12" fillId="0" borderId="62" xfId="0" applyFont="1" applyBorder="1" applyAlignment="1" applyProtection="1"/>
    <xf numFmtId="166" fontId="12" fillId="4" borderId="54" xfId="0" applyNumberFormat="1" applyFont="1" applyFill="1" applyBorder="1" applyAlignment="1" applyProtection="1">
      <alignment horizontal="left"/>
    </xf>
    <xf numFmtId="0" fontId="11" fillId="0" borderId="32" xfId="0" applyFont="1" applyFill="1" applyBorder="1" applyAlignment="1" applyProtection="1">
      <alignment horizontal="center"/>
    </xf>
    <xf numFmtId="0" fontId="12" fillId="0" borderId="45" xfId="0" applyFont="1" applyFill="1" applyBorder="1" applyAlignment="1" applyProtection="1"/>
    <xf numFmtId="0" fontId="0" fillId="0" borderId="0" xfId="0"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2" fillId="3" borderId="0" xfId="0" applyFont="1" applyFill="1" applyBorder="1" applyAlignment="1" applyProtection="1">
      <alignment vertical="center"/>
    </xf>
    <xf numFmtId="0" fontId="13" fillId="3" borderId="34" xfId="0" applyFont="1" applyFill="1" applyBorder="1" applyAlignment="1" applyProtection="1">
      <alignment vertical="top"/>
    </xf>
    <xf numFmtId="0" fontId="12" fillId="3" borderId="34" xfId="0" applyFont="1" applyFill="1" applyBorder="1" applyAlignment="1" applyProtection="1">
      <alignment horizontal="center" vertical="center"/>
    </xf>
    <xf numFmtId="0" fontId="13" fillId="3" borderId="0" xfId="0" applyFont="1" applyFill="1" applyBorder="1" applyAlignment="1" applyProtection="1">
      <alignment horizontal="center" vertical="top"/>
    </xf>
    <xf numFmtId="0" fontId="13" fillId="3" borderId="65" xfId="0" applyFont="1" applyFill="1" applyBorder="1" applyAlignment="1" applyProtection="1">
      <alignment horizontal="center" vertical="top"/>
    </xf>
    <xf numFmtId="0" fontId="13" fillId="3" borderId="41" xfId="0" applyFont="1" applyFill="1" applyBorder="1" applyAlignment="1" applyProtection="1">
      <alignment vertical="top"/>
    </xf>
    <xf numFmtId="0" fontId="13" fillId="3" borderId="45" xfId="0" applyFont="1" applyFill="1" applyBorder="1" applyAlignment="1" applyProtection="1">
      <alignment vertical="top"/>
    </xf>
    <xf numFmtId="0" fontId="8" fillId="3" borderId="38" xfId="0" applyFont="1" applyFill="1" applyBorder="1" applyAlignment="1" applyProtection="1"/>
    <xf numFmtId="0" fontId="8" fillId="3" borderId="0" xfId="0" applyFont="1" applyFill="1" applyBorder="1" applyAlignment="1" applyProtection="1"/>
    <xf numFmtId="0" fontId="8" fillId="3" borderId="34" xfId="0" applyFont="1" applyFill="1" applyBorder="1" applyAlignment="1" applyProtection="1"/>
    <xf numFmtId="0" fontId="12" fillId="3" borderId="38" xfId="0" applyFont="1" applyFill="1" applyBorder="1" applyAlignment="1" applyProtection="1">
      <alignment horizontal="left" vertical="center"/>
    </xf>
    <xf numFmtId="0" fontId="15" fillId="3" borderId="0" xfId="0" applyFont="1" applyFill="1" applyBorder="1" applyAlignment="1" applyProtection="1"/>
    <xf numFmtId="0" fontId="20" fillId="3" borderId="0" xfId="0" quotePrefix="1" applyFont="1" applyFill="1" applyBorder="1" applyAlignment="1" applyProtection="1"/>
    <xf numFmtId="0" fontId="15" fillId="3" borderId="35" xfId="0" applyFont="1" applyFill="1" applyBorder="1" applyAlignment="1" applyProtection="1"/>
    <xf numFmtId="0" fontId="15" fillId="3" borderId="34" xfId="0" applyFont="1" applyFill="1" applyBorder="1" applyAlignment="1" applyProtection="1"/>
    <xf numFmtId="0" fontId="12" fillId="3" borderId="34" xfId="0" applyFont="1" applyFill="1" applyBorder="1" applyAlignment="1" applyProtection="1"/>
    <xf numFmtId="0" fontId="8" fillId="0" borderId="66" xfId="0" applyFont="1" applyBorder="1" applyAlignment="1" applyProtection="1"/>
    <xf numFmtId="0" fontId="8" fillId="0" borderId="67" xfId="0" applyFont="1" applyBorder="1" applyAlignment="1" applyProtection="1"/>
    <xf numFmtId="0" fontId="8" fillId="3" borderId="48" xfId="0" applyFont="1" applyFill="1" applyBorder="1" applyAlignment="1" applyProtection="1"/>
    <xf numFmtId="0" fontId="15" fillId="3" borderId="33" xfId="0" applyFont="1" applyFill="1" applyBorder="1" applyAlignment="1" applyProtection="1"/>
    <xf numFmtId="0" fontId="12"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167" fontId="15" fillId="3" borderId="0" xfId="0" applyNumberFormat="1" applyFont="1" applyFill="1" applyBorder="1" applyAlignment="1" applyProtection="1">
      <alignment horizontal="right" vertical="center"/>
    </xf>
    <xf numFmtId="167" fontId="15" fillId="3" borderId="68" xfId="0" applyNumberFormat="1" applyFont="1" applyFill="1" applyBorder="1" applyAlignment="1" applyProtection="1">
      <alignment horizontal="right" vertical="center"/>
    </xf>
    <xf numFmtId="167" fontId="15" fillId="3" borderId="46" xfId="0" applyNumberFormat="1" applyFont="1" applyFill="1" applyBorder="1" applyAlignment="1" applyProtection="1">
      <alignment horizontal="right" vertical="center"/>
    </xf>
    <xf numFmtId="0" fontId="12" fillId="0" borderId="51" xfId="0" applyFont="1" applyFill="1" applyBorder="1" applyAlignment="1" applyProtection="1">
      <alignment horizontal="center" vertical="center"/>
    </xf>
    <xf numFmtId="0" fontId="12" fillId="3" borderId="33" xfId="0" applyFont="1" applyFill="1" applyBorder="1" applyAlignment="1" applyProtection="1"/>
    <xf numFmtId="0" fontId="12" fillId="0" borderId="45" xfId="0" applyFont="1" applyFill="1" applyBorder="1" applyAlignment="1" applyProtection="1">
      <alignment vertical="center"/>
    </xf>
    <xf numFmtId="0" fontId="41" fillId="3" borderId="0" xfId="0" applyFont="1" applyFill="1" applyBorder="1" applyAlignment="1" applyProtection="1">
      <alignment horizontal="center"/>
    </xf>
    <xf numFmtId="0" fontId="11" fillId="2" borderId="54" xfId="0" applyFont="1" applyFill="1" applyBorder="1" applyAlignment="1" applyProtection="1">
      <alignment vertical="center"/>
    </xf>
    <xf numFmtId="0" fontId="11" fillId="2" borderId="16" xfId="0" applyFont="1" applyFill="1" applyBorder="1" applyAlignment="1" applyProtection="1">
      <alignment vertical="center"/>
    </xf>
    <xf numFmtId="0" fontId="11" fillId="3" borderId="34" xfId="0" applyFont="1" applyFill="1" applyBorder="1" applyAlignment="1" applyProtection="1">
      <alignment horizontal="center"/>
    </xf>
    <xf numFmtId="0" fontId="10" fillId="3" borderId="34" xfId="0" applyFont="1" applyFill="1" applyBorder="1" applyAlignment="1" applyProtection="1"/>
    <xf numFmtId="0" fontId="15" fillId="3" borderId="38" xfId="0" applyFont="1" applyFill="1" applyBorder="1" applyAlignment="1" applyProtection="1"/>
    <xf numFmtId="0" fontId="15" fillId="3" borderId="48" xfId="0" applyFont="1" applyFill="1" applyBorder="1" applyAlignment="1" applyProtection="1"/>
    <xf numFmtId="0" fontId="15" fillId="3" borderId="53" xfId="0" applyFont="1" applyFill="1" applyBorder="1" applyAlignment="1" applyProtection="1"/>
    <xf numFmtId="166" fontId="15" fillId="3" borderId="0" xfId="0" applyNumberFormat="1" applyFont="1" applyFill="1" applyBorder="1" applyAlignment="1" applyProtection="1">
      <alignment horizontal="left"/>
    </xf>
    <xf numFmtId="0" fontId="15" fillId="3" borderId="41" xfId="0" applyFont="1" applyFill="1" applyBorder="1" applyAlignment="1" applyProtection="1"/>
    <xf numFmtId="0" fontId="18" fillId="6" borderId="4" xfId="0" applyFont="1" applyFill="1" applyBorder="1" applyAlignment="1" applyProtection="1">
      <alignment horizontal="left" vertical="center"/>
    </xf>
    <xf numFmtId="0" fontId="12" fillId="3" borderId="1" xfId="0" applyFont="1" applyFill="1" applyBorder="1" applyAlignment="1" applyProtection="1">
      <alignment horizontal="center" wrapText="1"/>
      <protection locked="0"/>
    </xf>
    <xf numFmtId="0" fontId="12" fillId="4" borderId="1" xfId="0" applyFont="1" applyFill="1" applyBorder="1" applyAlignment="1" applyProtection="1">
      <alignment horizontal="center" wrapText="1"/>
    </xf>
    <xf numFmtId="165" fontId="12" fillId="0" borderId="46" xfId="1" applyNumberFormat="1" applyFont="1" applyFill="1" applyBorder="1" applyAlignment="1" applyProtection="1">
      <alignment vertical="center"/>
    </xf>
    <xf numFmtId="0" fontId="12" fillId="0" borderId="46" xfId="0" applyFont="1" applyFill="1" applyBorder="1" applyAlignment="1" applyProtection="1">
      <alignment vertical="center"/>
    </xf>
    <xf numFmtId="0" fontId="9" fillId="0" borderId="69" xfId="0" applyFont="1" applyFill="1" applyBorder="1" applyAlignment="1" applyProtection="1">
      <alignment horizontal="center" vertical="center" wrapText="1"/>
    </xf>
    <xf numFmtId="0" fontId="12" fillId="3" borderId="0" xfId="0" applyFont="1" applyFill="1" applyBorder="1" applyAlignment="1" applyProtection="1">
      <alignment horizontal="right" wrapText="1"/>
    </xf>
    <xf numFmtId="0" fontId="8" fillId="0" borderId="38" xfId="0" applyFont="1" applyFill="1" applyBorder="1" applyAlignment="1" applyProtection="1"/>
    <xf numFmtId="0" fontId="12" fillId="4" borderId="4" xfId="0" applyFont="1" applyFill="1" applyBorder="1" applyAlignment="1" applyProtection="1">
      <alignment horizontal="left" vertical="center" indent="1"/>
    </xf>
    <xf numFmtId="166" fontId="12" fillId="4" borderId="70" xfId="0" applyNumberFormat="1" applyFont="1" applyFill="1" applyBorder="1" applyAlignment="1" applyProtection="1">
      <alignment horizontal="left" vertical="center" indent="1"/>
    </xf>
    <xf numFmtId="0" fontId="21" fillId="3" borderId="0" xfId="0" applyFont="1" applyFill="1" applyAlignment="1" applyProtection="1">
      <alignment wrapText="1"/>
    </xf>
    <xf numFmtId="166" fontId="15" fillId="0" borderId="45" xfId="0" applyNumberFormat="1" applyFont="1" applyFill="1" applyBorder="1" applyAlignment="1" applyProtection="1">
      <alignment horizontal="left"/>
    </xf>
    <xf numFmtId="166" fontId="15" fillId="3" borderId="60" xfId="0" applyNumberFormat="1" applyFont="1" applyFill="1" applyBorder="1" applyAlignment="1" applyProtection="1">
      <alignment horizontal="left"/>
    </xf>
    <xf numFmtId="0" fontId="12" fillId="3" borderId="33" xfId="0" applyFont="1" applyFill="1" applyBorder="1" applyAlignment="1" applyProtection="1">
      <alignment vertical="center"/>
    </xf>
    <xf numFmtId="0" fontId="42" fillId="0" borderId="34" xfId="0" applyFont="1" applyBorder="1" applyAlignment="1" applyProtection="1"/>
    <xf numFmtId="167" fontId="12" fillId="4" borderId="28" xfId="0" applyNumberFormat="1" applyFont="1" applyFill="1" applyBorder="1" applyAlignment="1" applyProtection="1">
      <alignment horizontal="right" vertical="center"/>
    </xf>
    <xf numFmtId="0" fontId="15" fillId="4" borderId="71" xfId="0" applyNumberFormat="1" applyFont="1" applyFill="1" applyBorder="1" applyAlignment="1" applyProtection="1">
      <alignment horizontal="center" vertical="center" wrapText="1"/>
    </xf>
    <xf numFmtId="0" fontId="12" fillId="0" borderId="60" xfId="0" applyFont="1" applyFill="1" applyBorder="1" applyAlignment="1" applyProtection="1"/>
    <xf numFmtId="0" fontId="12" fillId="0" borderId="27" xfId="0" applyFont="1" applyFill="1" applyBorder="1" applyAlignment="1" applyProtection="1"/>
    <xf numFmtId="0" fontId="12" fillId="0" borderId="72" xfId="0" applyFont="1" applyFill="1" applyBorder="1" applyAlignment="1" applyProtection="1"/>
    <xf numFmtId="0" fontId="12" fillId="0" borderId="73" xfId="0" applyFont="1" applyFill="1" applyBorder="1" applyAlignment="1" applyProtection="1">
      <alignment horizontal="center"/>
    </xf>
    <xf numFmtId="0" fontId="13" fillId="0" borderId="74" xfId="0" applyFont="1" applyFill="1" applyBorder="1" applyAlignment="1" applyProtection="1">
      <alignment horizontal="center" vertical="center"/>
      <protection locked="0"/>
    </xf>
    <xf numFmtId="167" fontId="12" fillId="4" borderId="75" xfId="0" applyNumberFormat="1" applyFont="1" applyFill="1" applyBorder="1" applyAlignment="1" applyProtection="1">
      <alignment horizontal="right" vertical="center"/>
    </xf>
    <xf numFmtId="0" fontId="12" fillId="3" borderId="76" xfId="0" applyFont="1" applyFill="1" applyBorder="1" applyAlignment="1" applyProtection="1">
      <alignment horizontal="left" vertical="center"/>
    </xf>
    <xf numFmtId="0" fontId="12" fillId="3" borderId="49" xfId="0" applyFont="1" applyFill="1" applyBorder="1" applyAlignment="1" applyProtection="1">
      <alignment horizontal="left" vertical="center"/>
    </xf>
    <xf numFmtId="167" fontId="12" fillId="3" borderId="49" xfId="0" applyNumberFormat="1" applyFont="1" applyFill="1" applyBorder="1" applyAlignment="1" applyProtection="1">
      <alignment horizontal="right" vertical="center"/>
    </xf>
    <xf numFmtId="0" fontId="13" fillId="0" borderId="77" xfId="0" applyFont="1" applyFill="1" applyBorder="1" applyAlignment="1" applyProtection="1">
      <alignment horizontal="center" vertical="center"/>
      <protection locked="0"/>
    </xf>
    <xf numFmtId="3" fontId="11" fillId="0" borderId="34" xfId="0" applyNumberFormat="1" applyFont="1" applyFill="1" applyBorder="1" applyAlignment="1" applyProtection="1">
      <alignment horizontal="center"/>
    </xf>
    <xf numFmtId="3" fontId="13" fillId="0" borderId="38" xfId="0" applyNumberFormat="1" applyFont="1" applyFill="1" applyBorder="1" applyAlignment="1" applyProtection="1">
      <alignment vertical="top"/>
    </xf>
    <xf numFmtId="3" fontId="13" fillId="0" borderId="34" xfId="0" applyNumberFormat="1" applyFont="1" applyFill="1" applyBorder="1" applyAlignment="1" applyProtection="1">
      <alignment vertical="top"/>
    </xf>
    <xf numFmtId="3" fontId="13" fillId="0" borderId="41" xfId="0" applyNumberFormat="1" applyFont="1" applyFill="1" applyBorder="1" applyAlignment="1" applyProtection="1">
      <alignment vertical="top"/>
    </xf>
    <xf numFmtId="3" fontId="12" fillId="0" borderId="54" xfId="0" applyNumberFormat="1" applyFont="1" applyFill="1" applyBorder="1" applyAlignment="1" applyProtection="1">
      <alignment horizontal="right"/>
      <protection locked="0"/>
    </xf>
    <xf numFmtId="3" fontId="13" fillId="4" borderId="54" xfId="0" applyNumberFormat="1" applyFont="1" applyFill="1" applyBorder="1" applyAlignment="1" applyProtection="1">
      <alignment horizontal="right"/>
    </xf>
    <xf numFmtId="3" fontId="13" fillId="0" borderId="0" xfId="0" applyNumberFormat="1" applyFont="1" applyFill="1" applyBorder="1" applyAlignment="1" applyProtection="1">
      <alignment vertical="top"/>
    </xf>
    <xf numFmtId="3" fontId="13" fillId="0" borderId="57" xfId="0" applyNumberFormat="1" applyFont="1" applyFill="1" applyBorder="1" applyAlignment="1" applyProtection="1">
      <alignment vertical="top"/>
    </xf>
    <xf numFmtId="3" fontId="12" fillId="0" borderId="33" xfId="0" applyNumberFormat="1" applyFont="1" applyFill="1" applyBorder="1" applyProtection="1"/>
    <xf numFmtId="3" fontId="12" fillId="0" borderId="34" xfId="0" applyNumberFormat="1" applyFont="1" applyFill="1" applyBorder="1" applyProtection="1"/>
    <xf numFmtId="3" fontId="12" fillId="0" borderId="0" xfId="0" applyNumberFormat="1" applyFont="1" applyFill="1" applyBorder="1" applyAlignment="1" applyProtection="1">
      <alignment horizontal="left"/>
    </xf>
    <xf numFmtId="3" fontId="12" fillId="4" borderId="54" xfId="0" applyNumberFormat="1" applyFont="1" applyFill="1" applyBorder="1" applyAlignment="1" applyProtection="1">
      <alignment horizontal="right"/>
    </xf>
    <xf numFmtId="3" fontId="12" fillId="3" borderId="54" xfId="0" applyNumberFormat="1" applyFont="1" applyFill="1" applyBorder="1" applyAlignment="1" applyProtection="1">
      <alignment horizontal="right"/>
      <protection locked="0"/>
    </xf>
    <xf numFmtId="3" fontId="13" fillId="3" borderId="34" xfId="0" applyNumberFormat="1" applyFont="1" applyFill="1" applyBorder="1" applyAlignment="1" applyProtection="1">
      <alignment vertical="top"/>
    </xf>
    <xf numFmtId="3" fontId="12" fillId="0" borderId="52" xfId="0" applyNumberFormat="1" applyFont="1" applyFill="1" applyBorder="1" applyProtection="1"/>
    <xf numFmtId="3" fontId="13" fillId="4" borderId="78" xfId="0" applyNumberFormat="1" applyFont="1" applyFill="1" applyBorder="1" applyAlignment="1" applyProtection="1">
      <alignment horizontal="right"/>
    </xf>
    <xf numFmtId="3" fontId="12" fillId="0" borderId="79" xfId="0" applyNumberFormat="1" applyFont="1" applyFill="1" applyBorder="1" applyAlignment="1" applyProtection="1">
      <alignment horizontal="right"/>
      <protection locked="0"/>
    </xf>
    <xf numFmtId="3" fontId="12" fillId="0" borderId="48" xfId="0" applyNumberFormat="1" applyFont="1" applyFill="1" applyBorder="1" applyAlignment="1" applyProtection="1">
      <alignment horizontal="right"/>
    </xf>
    <xf numFmtId="3" fontId="12" fillId="0" borderId="34" xfId="0" applyNumberFormat="1" applyFont="1" applyFill="1" applyBorder="1" applyAlignment="1" applyProtection="1">
      <alignment horizontal="left"/>
    </xf>
    <xf numFmtId="3" fontId="12" fillId="0" borderId="32" xfId="0" applyNumberFormat="1" applyFont="1" applyFill="1" applyBorder="1" applyAlignment="1" applyProtection="1"/>
    <xf numFmtId="3" fontId="12" fillId="0" borderId="34" xfId="0" applyNumberFormat="1" applyFont="1" applyFill="1" applyBorder="1" applyAlignment="1" applyProtection="1"/>
    <xf numFmtId="3" fontId="12" fillId="0" borderId="52" xfId="0" applyNumberFormat="1" applyFont="1" applyFill="1" applyBorder="1" applyAlignment="1" applyProtection="1"/>
    <xf numFmtId="3" fontId="12" fillId="0" borderId="34" xfId="0" applyNumberFormat="1" applyFont="1" applyFill="1" applyBorder="1" applyAlignment="1" applyProtection="1">
      <alignment horizontal="left" vertical="center"/>
    </xf>
    <xf numFmtId="3" fontId="12" fillId="0" borderId="59" xfId="0" applyNumberFormat="1" applyFont="1" applyFill="1" applyBorder="1" applyAlignment="1" applyProtection="1">
      <alignment horizontal="center"/>
    </xf>
    <xf numFmtId="3" fontId="12" fillId="0" borderId="62" xfId="0" applyNumberFormat="1" applyFont="1" applyFill="1" applyBorder="1" applyAlignment="1" applyProtection="1">
      <alignment horizontal="right"/>
      <protection locked="0"/>
    </xf>
    <xf numFmtId="3" fontId="12" fillId="0" borderId="32" xfId="0" applyNumberFormat="1" applyFont="1" applyFill="1" applyBorder="1" applyAlignment="1" applyProtection="1">
      <alignment horizontal="left"/>
    </xf>
    <xf numFmtId="3" fontId="12" fillId="0" borderId="35" xfId="0" applyNumberFormat="1" applyFont="1" applyFill="1" applyBorder="1" applyAlignment="1" applyProtection="1"/>
    <xf numFmtId="3" fontId="12" fillId="0" borderId="33" xfId="0" applyNumberFormat="1" applyFont="1" applyFill="1" applyBorder="1" applyAlignment="1" applyProtection="1"/>
    <xf numFmtId="0" fontId="12" fillId="0" borderId="53" xfId="0" applyFont="1" applyFill="1" applyBorder="1" applyAlignment="1" applyProtection="1"/>
    <xf numFmtId="3" fontId="12" fillId="0" borderId="45" xfId="0" applyNumberFormat="1" applyFont="1" applyFill="1" applyBorder="1" applyAlignment="1" applyProtection="1"/>
    <xf numFmtId="3" fontId="12" fillId="0" borderId="46" xfId="0" applyNumberFormat="1" applyFont="1" applyFill="1" applyBorder="1" applyAlignment="1" applyProtection="1">
      <alignment horizontal="left"/>
    </xf>
    <xf numFmtId="3" fontId="12" fillId="0" borderId="48" xfId="0" applyNumberFormat="1" applyFont="1" applyFill="1" applyBorder="1" applyAlignment="1" applyProtection="1"/>
    <xf numFmtId="3" fontId="12" fillId="0" borderId="0" xfId="0" applyNumberFormat="1" applyFont="1" applyFill="1" applyBorder="1" applyAlignment="1" applyProtection="1"/>
    <xf numFmtId="3" fontId="15" fillId="4" borderId="80" xfId="0" applyNumberFormat="1" applyFont="1" applyFill="1" applyBorder="1" applyAlignment="1" applyProtection="1">
      <alignment horizontal="right"/>
    </xf>
    <xf numFmtId="3" fontId="15" fillId="3" borderId="27" xfId="0" applyNumberFormat="1" applyFont="1" applyFill="1" applyBorder="1" applyAlignment="1" applyProtection="1">
      <alignment horizontal="right"/>
    </xf>
    <xf numFmtId="3" fontId="15" fillId="3" borderId="54" xfId="0" applyNumberFormat="1" applyFont="1" applyFill="1" applyBorder="1" applyAlignment="1" applyProtection="1">
      <alignment horizontal="right"/>
      <protection locked="0"/>
    </xf>
    <xf numFmtId="3" fontId="15" fillId="0" borderId="0" xfId="0" applyNumberFormat="1" applyFont="1" applyFill="1" applyBorder="1" applyAlignment="1" applyProtection="1"/>
    <xf numFmtId="3" fontId="15" fillId="4" borderId="81" xfId="0" applyNumberFormat="1" applyFont="1" applyFill="1" applyBorder="1" applyAlignment="1" applyProtection="1">
      <alignment horizontal="right"/>
    </xf>
    <xf numFmtId="3" fontId="15" fillId="4" borderId="62" xfId="0" applyNumberFormat="1" applyFont="1" applyFill="1" applyBorder="1" applyAlignment="1" applyProtection="1">
      <alignment horizontal="right"/>
    </xf>
    <xf numFmtId="3" fontId="15" fillId="0" borderId="34" xfId="0" applyNumberFormat="1" applyFont="1" applyFill="1" applyBorder="1" applyAlignment="1" applyProtection="1"/>
    <xf numFmtId="3" fontId="15" fillId="3" borderId="60" xfId="0" applyNumberFormat="1" applyFont="1" applyFill="1" applyBorder="1" applyAlignment="1" applyProtection="1">
      <alignment horizontal="right"/>
    </xf>
    <xf numFmtId="3" fontId="15" fillId="3" borderId="34" xfId="0" applyNumberFormat="1" applyFont="1" applyFill="1" applyBorder="1" applyAlignment="1" applyProtection="1"/>
    <xf numFmtId="3" fontId="15" fillId="0" borderId="61" xfId="0" applyNumberFormat="1" applyFont="1" applyFill="1" applyBorder="1" applyAlignment="1" applyProtection="1">
      <alignment horizontal="center"/>
    </xf>
    <xf numFmtId="3" fontId="15" fillId="0" borderId="32" xfId="0" applyNumberFormat="1" applyFont="1" applyFill="1" applyBorder="1" applyAlignment="1" applyProtection="1"/>
    <xf numFmtId="3" fontId="15" fillId="0" borderId="47" xfId="0" applyNumberFormat="1" applyFont="1" applyFill="1" applyBorder="1" applyAlignment="1" applyProtection="1"/>
    <xf numFmtId="3" fontId="15" fillId="3" borderId="32" xfId="0" applyNumberFormat="1" applyFont="1" applyFill="1" applyBorder="1" applyAlignment="1" applyProtection="1"/>
    <xf numFmtId="3" fontId="15" fillId="3" borderId="0" xfId="0" applyNumberFormat="1" applyFont="1" applyFill="1" applyBorder="1" applyAlignment="1" applyProtection="1"/>
    <xf numFmtId="3" fontId="54" fillId="0" borderId="47" xfId="0" applyNumberFormat="1" applyFont="1" applyFill="1" applyBorder="1" applyAlignment="1" applyProtection="1">
      <alignment horizont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xf>
    <xf numFmtId="0" fontId="17" fillId="0" borderId="76" xfId="0" applyFont="1" applyFill="1" applyBorder="1" applyAlignment="1" applyProtection="1">
      <alignment horizontal="left"/>
    </xf>
    <xf numFmtId="0" fontId="17" fillId="0" borderId="82" xfId="0" applyFont="1" applyFill="1" applyBorder="1" applyAlignment="1" applyProtection="1">
      <alignment horizontal="left"/>
    </xf>
    <xf numFmtId="0" fontId="17" fillId="0" borderId="83" xfId="0" applyFont="1" applyFill="1" applyBorder="1" applyAlignment="1" applyProtection="1">
      <alignment horizontal="left"/>
    </xf>
    <xf numFmtId="0" fontId="17" fillId="0" borderId="8" xfId="0" applyFont="1" applyFill="1" applyBorder="1" applyAlignment="1" applyProtection="1">
      <alignment horizontal="left"/>
    </xf>
    <xf numFmtId="0" fontId="45" fillId="3" borderId="0" xfId="0" applyFont="1" applyFill="1" applyBorder="1" applyAlignment="1" applyProtection="1">
      <alignment horizontal="left"/>
    </xf>
    <xf numFmtId="0" fontId="23" fillId="5" borderId="13" xfId="0" applyFont="1" applyFill="1" applyBorder="1" applyAlignment="1" applyProtection="1">
      <alignment horizontal="center" vertical="center" wrapText="1"/>
    </xf>
    <xf numFmtId="0" fontId="15" fillId="3" borderId="84" xfId="0" applyFont="1" applyFill="1" applyBorder="1" applyAlignment="1" applyProtection="1">
      <alignment horizontal="center" vertical="center"/>
    </xf>
    <xf numFmtId="0" fontId="13" fillId="4" borderId="13" xfId="13" applyFont="1" applyFill="1" applyBorder="1" applyAlignment="1" applyProtection="1">
      <alignment vertical="center"/>
    </xf>
    <xf numFmtId="0" fontId="13" fillId="4" borderId="13" xfId="13" applyFont="1" applyFill="1" applyBorder="1" applyAlignment="1" applyProtection="1">
      <alignment vertical="center" wrapText="1"/>
    </xf>
    <xf numFmtId="3" fontId="9" fillId="3" borderId="0" xfId="0" applyNumberFormat="1" applyFont="1" applyFill="1" applyBorder="1" applyAlignment="1" applyProtection="1"/>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top"/>
    </xf>
    <xf numFmtId="0" fontId="11" fillId="3" borderId="0" xfId="0" applyFont="1" applyFill="1" applyBorder="1" applyAlignment="1" applyProtection="1">
      <alignment vertical="center"/>
    </xf>
    <xf numFmtId="0" fontId="15" fillId="0" borderId="4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0" xfId="0" applyFont="1" applyAlignment="1" applyProtection="1">
      <alignment horizontal="center" vertical="center"/>
    </xf>
    <xf numFmtId="3" fontId="12" fillId="0" borderId="1" xfId="0" applyNumberFormat="1" applyFont="1" applyFill="1" applyBorder="1" applyAlignment="1" applyProtection="1">
      <alignment horizontal="center" vertical="center"/>
      <protection locked="0"/>
    </xf>
    <xf numFmtId="3" fontId="12" fillId="0" borderId="85" xfId="0" applyNumberFormat="1" applyFont="1" applyFill="1" applyBorder="1" applyAlignment="1" applyProtection="1">
      <alignment horizontal="center" vertical="center"/>
      <protection locked="0"/>
    </xf>
    <xf numFmtId="0" fontId="13" fillId="5" borderId="86" xfId="0" applyFont="1" applyFill="1" applyBorder="1" applyAlignment="1" applyProtection="1">
      <alignment horizontal="center" vertical="center" wrapText="1"/>
    </xf>
    <xf numFmtId="0" fontId="12" fillId="3" borderId="71"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2" fillId="3" borderId="0" xfId="0" applyFont="1" applyFill="1" applyBorder="1" applyAlignment="1" applyProtection="1">
      <alignment vertical="center" wrapText="1"/>
    </xf>
    <xf numFmtId="0" fontId="12" fillId="3" borderId="68" xfId="0" applyFont="1" applyFill="1" applyBorder="1" applyAlignment="1" applyProtection="1">
      <alignment vertical="center" wrapText="1"/>
    </xf>
    <xf numFmtId="3" fontId="15" fillId="4" borderId="1" xfId="0" applyNumberFormat="1" applyFont="1" applyFill="1" applyBorder="1" applyAlignment="1" applyProtection="1">
      <alignment horizontal="center" vertical="center"/>
    </xf>
    <xf numFmtId="0" fontId="6" fillId="0" borderId="34" xfId="0" applyFont="1" applyFill="1" applyBorder="1" applyAlignment="1" applyProtection="1">
      <alignment horizontal="left" vertical="top"/>
    </xf>
    <xf numFmtId="0" fontId="15" fillId="0" borderId="10" xfId="0" applyFont="1" applyFill="1" applyBorder="1" applyAlignment="1" applyProtection="1">
      <alignment horizontal="left" vertical="center"/>
    </xf>
    <xf numFmtId="4" fontId="15" fillId="0" borderId="10" xfId="0" applyNumberFormat="1" applyFont="1" applyFill="1" applyBorder="1" applyAlignment="1" applyProtection="1">
      <alignment horizontal="right" vertical="center"/>
    </xf>
    <xf numFmtId="167" fontId="15" fillId="0" borderId="10" xfId="0" applyNumberFormat="1" applyFont="1" applyFill="1" applyBorder="1" applyAlignment="1" applyProtection="1">
      <alignment horizontal="right" vertical="center"/>
    </xf>
    <xf numFmtId="3" fontId="13" fillId="4" borderId="1" xfId="0" applyNumberFormat="1" applyFont="1" applyFill="1" applyBorder="1" applyAlignment="1" applyProtection="1">
      <alignment horizontal="center" vertical="center"/>
    </xf>
    <xf numFmtId="3" fontId="15" fillId="4" borderId="13" xfId="0" applyNumberFormat="1" applyFont="1" applyFill="1" applyBorder="1" applyAlignment="1" applyProtection="1">
      <alignment horizontal="center" vertical="center"/>
    </xf>
    <xf numFmtId="3" fontId="12" fillId="4" borderId="85" xfId="0" applyNumberFormat="1" applyFont="1" applyFill="1" applyBorder="1" applyAlignment="1" applyProtection="1">
      <alignment horizontal="center" vertical="center"/>
    </xf>
    <xf numFmtId="3" fontId="12" fillId="4" borderId="1" xfId="0" applyNumberFormat="1" applyFont="1" applyFill="1" applyBorder="1" applyAlignment="1" applyProtection="1">
      <alignment horizontal="center" vertical="center"/>
    </xf>
    <xf numFmtId="0" fontId="13" fillId="4" borderId="49" xfId="0" applyNumberFormat="1" applyFont="1" applyFill="1" applyBorder="1" applyAlignment="1" applyProtection="1">
      <alignment vertical="center"/>
    </xf>
    <xf numFmtId="0" fontId="13" fillId="4" borderId="87" xfId="0" applyNumberFormat="1" applyFont="1" applyFill="1" applyBorder="1" applyAlignment="1" applyProtection="1">
      <alignment vertical="center"/>
    </xf>
    <xf numFmtId="49" fontId="13" fillId="4" borderId="49" xfId="0" applyNumberFormat="1" applyFont="1" applyFill="1" applyBorder="1" applyAlignment="1" applyProtection="1">
      <alignment vertical="center"/>
    </xf>
    <xf numFmtId="0" fontId="0" fillId="7" borderId="0" xfId="0" applyFill="1" applyProtection="1"/>
    <xf numFmtId="0" fontId="21" fillId="0" borderId="0" xfId="0" applyFont="1" applyAlignment="1" applyProtection="1">
      <alignment horizontal="left" vertical="center" wrapText="1"/>
    </xf>
    <xf numFmtId="0" fontId="11" fillId="2" borderId="11" xfId="0" applyFont="1" applyFill="1" applyBorder="1" applyAlignment="1" applyProtection="1">
      <alignment horizontal="left" vertical="center"/>
    </xf>
    <xf numFmtId="0" fontId="11" fillId="2" borderId="76" xfId="0" applyFont="1" applyFill="1" applyBorder="1" applyAlignment="1" applyProtection="1">
      <alignment horizontal="left" vertical="center"/>
    </xf>
    <xf numFmtId="0" fontId="15" fillId="4" borderId="88" xfId="0" applyFont="1" applyFill="1" applyBorder="1" applyAlignment="1" applyProtection="1">
      <alignment horizontal="left" vertical="center" indent="1"/>
    </xf>
    <xf numFmtId="0" fontId="15" fillId="4" borderId="89" xfId="0" applyFont="1" applyFill="1" applyBorder="1" applyAlignment="1" applyProtection="1">
      <alignment horizontal="left" vertical="center" indent="1"/>
    </xf>
    <xf numFmtId="0" fontId="11" fillId="2" borderId="49" xfId="0" applyFont="1" applyFill="1" applyBorder="1" applyAlignment="1" applyProtection="1">
      <alignment horizontal="left" vertical="center"/>
    </xf>
    <xf numFmtId="0" fontId="13" fillId="4" borderId="90" xfId="0" applyFont="1" applyFill="1" applyBorder="1" applyAlignment="1" applyProtection="1">
      <alignment horizontal="left" vertical="center" indent="1"/>
    </xf>
    <xf numFmtId="0" fontId="13" fillId="4" borderId="8" xfId="0" applyFont="1" applyFill="1" applyBorder="1" applyAlignment="1" applyProtection="1">
      <alignment horizontal="left" vertical="center" indent="1"/>
    </xf>
    <xf numFmtId="0" fontId="13" fillId="4" borderId="91" xfId="0" applyFont="1" applyFill="1" applyBorder="1" applyAlignment="1" applyProtection="1">
      <alignment horizontal="left" vertical="center" indent="1"/>
    </xf>
    <xf numFmtId="0" fontId="13" fillId="5" borderId="3" xfId="0" applyFont="1" applyFill="1" applyBorder="1" applyAlignment="1" applyProtection="1">
      <alignment horizontal="center" vertical="center" wrapText="1"/>
    </xf>
    <xf numFmtId="0" fontId="11" fillId="0" borderId="45" xfId="0" applyFont="1" applyFill="1" applyBorder="1" applyAlignment="1" applyProtection="1">
      <alignment horizontal="center"/>
    </xf>
    <xf numFmtId="0" fontId="12" fillId="0" borderId="34" xfId="0" applyFont="1" applyFill="1" applyBorder="1" applyAlignment="1" applyProtection="1">
      <alignment horizontal="center" vertical="center"/>
    </xf>
    <xf numFmtId="0" fontId="17" fillId="2" borderId="0" xfId="0" applyFont="1" applyFill="1" applyBorder="1" applyAlignment="1" applyProtection="1">
      <alignment horizontal="left"/>
    </xf>
    <xf numFmtId="0" fontId="15" fillId="4" borderId="13" xfId="0" applyFont="1" applyFill="1" applyBorder="1" applyAlignment="1" applyProtection="1">
      <alignment horizontal="left" vertical="center" indent="1"/>
    </xf>
    <xf numFmtId="166" fontId="15" fillId="4" borderId="4" xfId="0" applyNumberFormat="1" applyFont="1" applyFill="1" applyBorder="1" applyAlignment="1" applyProtection="1">
      <alignment horizontal="left" indent="1"/>
    </xf>
    <xf numFmtId="0" fontId="15" fillId="4" borderId="4" xfId="0" applyFont="1" applyFill="1" applyBorder="1" applyAlignment="1" applyProtection="1">
      <alignment horizontal="left" indent="1"/>
    </xf>
    <xf numFmtId="0" fontId="21" fillId="3" borderId="0" xfId="0" applyFont="1" applyFill="1" applyAlignment="1" applyProtection="1">
      <alignment horizontal="left" wrapText="1"/>
    </xf>
    <xf numFmtId="0" fontId="11" fillId="2" borderId="13" xfId="0"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0" fontId="8" fillId="3" borderId="0" xfId="0" applyFont="1" applyFill="1" applyAlignment="1" applyProtection="1"/>
    <xf numFmtId="0" fontId="13" fillId="5" borderId="75" xfId="0" applyFont="1" applyFill="1" applyBorder="1" applyAlignment="1" applyProtection="1">
      <alignment horizontal="center" vertical="center" wrapText="1"/>
    </xf>
    <xf numFmtId="0" fontId="11" fillId="2" borderId="0" xfId="0" applyFont="1" applyFill="1" applyBorder="1" applyAlignment="1" applyProtection="1">
      <alignment horizontal="left" vertical="center"/>
    </xf>
    <xf numFmtId="0" fontId="11" fillId="2" borderId="11" xfId="0" applyFont="1" applyFill="1" applyBorder="1" applyAlignment="1" applyProtection="1">
      <alignment vertical="center"/>
    </xf>
    <xf numFmtId="0" fontId="23" fillId="3" borderId="3" xfId="0" applyFont="1" applyFill="1" applyBorder="1" applyAlignment="1" applyProtection="1">
      <alignment horizontal="center" vertical="center" wrapText="1"/>
    </xf>
    <xf numFmtId="0" fontId="11" fillId="0" borderId="34" xfId="0" applyFont="1" applyFill="1" applyBorder="1" applyAlignment="1" applyProtection="1">
      <alignment horizontal="center"/>
    </xf>
    <xf numFmtId="0" fontId="12" fillId="3" borderId="0" xfId="0" applyFont="1" applyFill="1" applyAlignment="1" applyProtection="1">
      <alignment horizontal="left" wrapText="1" indent="1"/>
    </xf>
    <xf numFmtId="0" fontId="18" fillId="3" borderId="0" xfId="0" applyFont="1" applyFill="1" applyBorder="1" applyAlignment="1" applyProtection="1">
      <alignment horizontal="left" wrapText="1"/>
    </xf>
    <xf numFmtId="0" fontId="13" fillId="3" borderId="54" xfId="0" applyFont="1" applyFill="1" applyBorder="1" applyAlignment="1" applyProtection="1">
      <alignment horizontal="center"/>
      <protection locked="0"/>
    </xf>
    <xf numFmtId="166" fontId="15" fillId="4" borderId="16" xfId="0" applyNumberFormat="1" applyFont="1" applyFill="1" applyBorder="1" applyAlignment="1" applyProtection="1">
      <alignment horizontal="left" vertical="center" indent="1"/>
    </xf>
    <xf numFmtId="166" fontId="15" fillId="4" borderId="70" xfId="0" applyNumberFormat="1" applyFont="1" applyFill="1" applyBorder="1" applyAlignment="1" applyProtection="1">
      <alignment horizontal="left" vertical="center" indent="1"/>
    </xf>
    <xf numFmtId="0" fontId="15" fillId="4" borderId="90" xfId="0" applyFont="1" applyFill="1" applyBorder="1" applyAlignment="1" applyProtection="1">
      <alignment horizontal="left" vertical="center" indent="1"/>
    </xf>
    <xf numFmtId="0" fontId="51" fillId="0" borderId="0" xfId="0" applyFont="1" applyFill="1" applyBorder="1" applyAlignment="1" applyProtection="1">
      <alignment horizontal="left" wrapText="1"/>
    </xf>
    <xf numFmtId="0" fontId="23" fillId="3" borderId="0" xfId="0" applyFont="1" applyFill="1" applyProtection="1"/>
    <xf numFmtId="0" fontId="4" fillId="3" borderId="0" xfId="0" applyFont="1" applyFill="1" applyAlignment="1" applyProtection="1">
      <alignment horizontal="left" wrapText="1"/>
    </xf>
    <xf numFmtId="0" fontId="5" fillId="3" borderId="0" xfId="0" applyFont="1" applyFill="1" applyProtection="1"/>
    <xf numFmtId="0" fontId="8" fillId="0" borderId="0" xfId="0" applyFont="1" applyFill="1" applyAlignment="1" applyProtection="1">
      <alignment vertical="center"/>
    </xf>
    <xf numFmtId="0" fontId="0" fillId="0" borderId="0" xfId="0" applyFill="1" applyBorder="1" applyAlignment="1" applyProtection="1">
      <alignmen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indent="1"/>
    </xf>
    <xf numFmtId="0" fontId="12" fillId="0" borderId="0" xfId="0" applyNumberFormat="1" applyFont="1" applyAlignment="1" applyProtection="1">
      <alignment horizontal="center" vertical="center"/>
    </xf>
    <xf numFmtId="3" fontId="12" fillId="0" borderId="0" xfId="0" applyNumberFormat="1" applyFont="1" applyAlignment="1" applyProtection="1">
      <alignment horizontal="center" vertical="center"/>
    </xf>
    <xf numFmtId="0" fontId="12" fillId="0" borderId="0" xfId="0" applyFont="1" applyBorder="1" applyAlignment="1" applyProtection="1">
      <alignment vertical="center"/>
    </xf>
    <xf numFmtId="0" fontId="0" fillId="0" borderId="0" xfId="0" applyAlignment="1" applyProtection="1">
      <alignment horizontal="center" vertical="center"/>
    </xf>
    <xf numFmtId="0" fontId="0" fillId="0" borderId="49" xfId="0" applyBorder="1" applyProtection="1"/>
    <xf numFmtId="0" fontId="0" fillId="0" borderId="0" xfId="0" applyAlignment="1" applyProtection="1"/>
    <xf numFmtId="0" fontId="15" fillId="0" borderId="0" xfId="0" applyFont="1" applyFill="1" applyBorder="1" applyAlignment="1" applyProtection="1">
      <alignment horizontal="left" vertical="center" wrapText="1" indent="1"/>
    </xf>
    <xf numFmtId="0" fontId="0" fillId="0" borderId="0" xfId="0" applyFill="1" applyBorder="1" applyAlignment="1" applyProtection="1">
      <alignment horizontal="left" vertical="center" wrapText="1" indent="1"/>
    </xf>
    <xf numFmtId="165" fontId="2" fillId="3" borderId="0" xfId="1" applyNumberFormat="1" applyFill="1" applyProtection="1"/>
    <xf numFmtId="170" fontId="13" fillId="0" borderId="1" xfId="0" applyNumberFormat="1" applyFont="1" applyFill="1" applyBorder="1" applyAlignment="1" applyProtection="1">
      <alignment horizontal="center" vertical="center" wrapText="1"/>
      <protection locked="0"/>
    </xf>
    <xf numFmtId="170" fontId="13" fillId="0" borderId="85" xfId="0"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center"/>
    </xf>
    <xf numFmtId="0" fontId="15" fillId="0" borderId="10" xfId="0" applyFont="1" applyFill="1" applyBorder="1" applyAlignment="1" applyProtection="1">
      <alignment horizontal="left" vertical="center" indent="1"/>
    </xf>
    <xf numFmtId="0" fontId="36" fillId="0" borderId="0" xfId="0" applyFont="1" applyFill="1" applyBorder="1" applyAlignment="1" applyProtection="1">
      <alignment horizontal="right" vertical="center"/>
    </xf>
    <xf numFmtId="0" fontId="36" fillId="0" borderId="0" xfId="0" applyFont="1" applyProtection="1"/>
    <xf numFmtId="165" fontId="36" fillId="0" borderId="0" xfId="1" applyNumberFormat="1" applyFont="1" applyProtection="1"/>
    <xf numFmtId="167" fontId="13" fillId="6" borderId="4" xfId="0" applyNumberFormat="1" applyFont="1" applyFill="1" applyBorder="1" applyAlignment="1" applyProtection="1">
      <alignment horizontal="left" vertical="top" wrapText="1"/>
    </xf>
    <xf numFmtId="4" fontId="12" fillId="3" borderId="49" xfId="0" applyNumberFormat="1" applyFont="1" applyFill="1" applyBorder="1" applyAlignment="1" applyProtection="1">
      <alignment horizontal="right" vertical="center"/>
    </xf>
    <xf numFmtId="0" fontId="13" fillId="0" borderId="69" xfId="0" applyFont="1" applyFill="1" applyBorder="1" applyAlignment="1" applyProtection="1">
      <alignment horizontal="center" vertical="center"/>
    </xf>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13" fillId="3" borderId="0" xfId="0" applyFont="1" applyFill="1" applyBorder="1" applyAlignment="1" applyProtection="1">
      <alignment horizontal="center" vertical="center"/>
    </xf>
    <xf numFmtId="0" fontId="12" fillId="0" borderId="0" xfId="0" applyFont="1" applyBorder="1" applyProtection="1"/>
    <xf numFmtId="0" fontId="0" fillId="0" borderId="32" xfId="0" applyBorder="1" applyProtection="1"/>
    <xf numFmtId="0" fontId="2" fillId="3" borderId="34" xfId="0" applyFont="1" applyFill="1" applyBorder="1" applyProtection="1"/>
    <xf numFmtId="0" fontId="0" fillId="0" borderId="33" xfId="0" applyBorder="1" applyProtection="1"/>
    <xf numFmtId="0" fontId="0" fillId="0" borderId="47" xfId="0" applyBorder="1" applyProtection="1"/>
    <xf numFmtId="2" fontId="12" fillId="0" borderId="0" xfId="0" applyNumberFormat="1" applyFont="1" applyBorder="1" applyAlignment="1" applyProtection="1"/>
    <xf numFmtId="0" fontId="0" fillId="0" borderId="51" xfId="0" applyBorder="1" applyProtection="1"/>
    <xf numFmtId="0" fontId="12" fillId="3" borderId="0" xfId="0" applyFont="1" applyFill="1" applyBorder="1" applyAlignment="1" applyProtection="1">
      <alignment horizontal="left" vertical="center" wrapText="1" indent="1"/>
    </xf>
    <xf numFmtId="0" fontId="9" fillId="4" borderId="13" xfId="13" applyFont="1" applyFill="1" applyBorder="1" applyAlignment="1" applyProtection="1">
      <alignment vertical="center"/>
    </xf>
    <xf numFmtId="0" fontId="12" fillId="0" borderId="0" xfId="13" applyFont="1" applyProtection="1"/>
    <xf numFmtId="0" fontId="13" fillId="4" borderId="92" xfId="13" applyFont="1" applyFill="1" applyBorder="1" applyAlignment="1" applyProtection="1"/>
    <xf numFmtId="0" fontId="13" fillId="4" borderId="90" xfId="13" applyFont="1" applyFill="1" applyBorder="1" applyAlignment="1" applyProtection="1"/>
    <xf numFmtId="0" fontId="13" fillId="0" borderId="93" xfId="13" applyFont="1" applyBorder="1" applyAlignment="1" applyProtection="1">
      <alignment vertical="center"/>
    </xf>
    <xf numFmtId="0" fontId="13" fillId="0" borderId="94" xfId="13" applyFont="1" applyBorder="1" applyAlignment="1" applyProtection="1">
      <alignment vertical="center"/>
    </xf>
    <xf numFmtId="0" fontId="48" fillId="3" borderId="0" xfId="0" applyFont="1" applyFill="1" applyAlignment="1" applyProtection="1">
      <alignment horizontal="center"/>
    </xf>
    <xf numFmtId="0" fontId="13" fillId="5" borderId="1" xfId="0" applyFont="1" applyFill="1" applyBorder="1" applyAlignment="1" applyProtection="1">
      <alignment horizontal="center" vertical="top"/>
    </xf>
    <xf numFmtId="0" fontId="13" fillId="8" borderId="6" xfId="0" applyFont="1" applyFill="1" applyBorder="1" applyAlignment="1" applyProtection="1">
      <alignment horizontal="center" vertical="top" wrapText="1"/>
    </xf>
    <xf numFmtId="0" fontId="13" fillId="5" borderId="6" xfId="0" applyFont="1" applyFill="1" applyBorder="1" applyAlignment="1" applyProtection="1">
      <alignment horizontal="center" vertical="top" wrapText="1"/>
    </xf>
    <xf numFmtId="0" fontId="13" fillId="5" borderId="1" xfId="0" applyFont="1" applyFill="1" applyBorder="1" applyAlignment="1" applyProtection="1">
      <alignment horizontal="center" vertical="top" wrapText="1"/>
    </xf>
    <xf numFmtId="0" fontId="13" fillId="8" borderId="1" xfId="0" applyFont="1" applyFill="1" applyBorder="1" applyAlignment="1" applyProtection="1">
      <alignment horizontal="center" vertical="top" wrapText="1"/>
    </xf>
    <xf numFmtId="0" fontId="0" fillId="3" borderId="0" xfId="0" applyFill="1" applyAlignment="1" applyProtection="1">
      <alignment vertical="top"/>
    </xf>
    <xf numFmtId="0" fontId="15" fillId="3" borderId="0" xfId="0" applyFont="1" applyFill="1" applyBorder="1" applyProtection="1"/>
    <xf numFmtId="0" fontId="15" fillId="9" borderId="0" xfId="0" applyFont="1" applyFill="1" applyBorder="1" applyProtection="1"/>
    <xf numFmtId="0" fontId="50" fillId="3" borderId="0" xfId="0" applyFont="1" applyFill="1" applyBorder="1" applyProtection="1"/>
    <xf numFmtId="0" fontId="12" fillId="3" borderId="0" xfId="0" applyFont="1" applyFill="1" applyAlignment="1" applyProtection="1">
      <alignment horizontal="center"/>
    </xf>
    <xf numFmtId="0" fontId="55" fillId="3" borderId="0" xfId="0" applyFont="1" applyFill="1" applyProtection="1"/>
    <xf numFmtId="0" fontId="1" fillId="3" borderId="0" xfId="0" applyFont="1" applyFill="1" applyProtection="1"/>
    <xf numFmtId="0" fontId="1" fillId="0" borderId="0" xfId="0" applyFont="1" applyProtection="1"/>
    <xf numFmtId="0" fontId="60" fillId="3" borderId="0" xfId="0" applyFont="1" applyFill="1" applyProtection="1"/>
    <xf numFmtId="0" fontId="56" fillId="5" borderId="69" xfId="0" applyFont="1" applyFill="1" applyBorder="1" applyAlignment="1" applyProtection="1">
      <alignment horizontal="center" wrapText="1"/>
    </xf>
    <xf numFmtId="0" fontId="58" fillId="5" borderId="69" xfId="0" applyFont="1" applyFill="1" applyBorder="1" applyAlignment="1" applyProtection="1">
      <alignment horizontal="center" wrapText="1"/>
    </xf>
    <xf numFmtId="0" fontId="59" fillId="0" borderId="93" xfId="0" applyFont="1" applyBorder="1" applyAlignment="1" applyProtection="1">
      <alignment wrapText="1"/>
    </xf>
    <xf numFmtId="0" fontId="59" fillId="0" borderId="1" xfId="0" applyFont="1" applyBorder="1" applyAlignment="1" applyProtection="1">
      <alignment horizontal="center" wrapText="1"/>
    </xf>
    <xf numFmtId="0" fontId="59" fillId="0" borderId="1" xfId="0" applyFont="1" applyBorder="1" applyAlignment="1" applyProtection="1">
      <alignment wrapText="1"/>
    </xf>
    <xf numFmtId="0" fontId="59" fillId="0" borderId="4" xfId="0" applyFont="1" applyBorder="1" applyAlignment="1" applyProtection="1">
      <alignment wrapText="1"/>
    </xf>
    <xf numFmtId="0" fontId="59" fillId="3" borderId="0" xfId="0" applyFont="1" applyFill="1" applyBorder="1" applyAlignment="1" applyProtection="1">
      <alignment wrapText="1"/>
    </xf>
    <xf numFmtId="0" fontId="59" fillId="0" borderId="95" xfId="0" applyFont="1" applyBorder="1" applyProtection="1"/>
    <xf numFmtId="0" fontId="59" fillId="0" borderId="4" xfId="0" applyFont="1" applyBorder="1" applyProtection="1"/>
    <xf numFmtId="0" fontId="56" fillId="0" borderId="1" xfId="0" applyFont="1" applyFill="1" applyBorder="1" applyAlignment="1" applyProtection="1">
      <alignment horizontal="center" wrapText="1"/>
    </xf>
    <xf numFmtId="0" fontId="56" fillId="0" borderId="4" xfId="0" applyFont="1" applyFill="1" applyBorder="1" applyAlignment="1" applyProtection="1">
      <alignment horizontal="center" wrapText="1"/>
    </xf>
    <xf numFmtId="0" fontId="59" fillId="0" borderId="94" xfId="0" applyFont="1" applyBorder="1" applyProtection="1"/>
    <xf numFmtId="0" fontId="59" fillId="0" borderId="85" xfId="0" applyFont="1" applyBorder="1" applyAlignment="1" applyProtection="1">
      <alignment wrapText="1"/>
    </xf>
    <xf numFmtId="0" fontId="59" fillId="0" borderId="96" xfId="0" applyFont="1" applyBorder="1" applyAlignment="1" applyProtection="1">
      <alignment wrapText="1"/>
    </xf>
    <xf numFmtId="0" fontId="1" fillId="3" borderId="0" xfId="0" applyFont="1" applyFill="1" applyAlignment="1" applyProtection="1">
      <alignment wrapText="1"/>
    </xf>
    <xf numFmtId="0" fontId="1" fillId="0" borderId="0" xfId="0" applyFont="1" applyAlignment="1" applyProtection="1">
      <alignment wrapText="1"/>
    </xf>
    <xf numFmtId="0" fontId="15" fillId="4" borderId="3" xfId="0" applyFont="1" applyFill="1" applyBorder="1" applyAlignment="1" applyProtection="1">
      <alignment horizontal="left" vertical="center" indent="1"/>
    </xf>
    <xf numFmtId="166" fontId="15" fillId="4" borderId="97" xfId="0" applyNumberFormat="1" applyFont="1" applyFill="1" applyBorder="1" applyAlignment="1" applyProtection="1">
      <alignment horizontal="left" vertical="center" indent="1"/>
    </xf>
    <xf numFmtId="0" fontId="49" fillId="3" borderId="0" xfId="0" applyFont="1" applyFill="1" applyAlignment="1" applyProtection="1">
      <alignment vertical="center"/>
    </xf>
    <xf numFmtId="0" fontId="8" fillId="0" borderId="0" xfId="0" applyFont="1" applyFill="1" applyBorder="1" applyAlignment="1" applyProtection="1">
      <alignment horizontal="left" vertical="center" wrapText="1" indent="1"/>
    </xf>
    <xf numFmtId="165" fontId="2" fillId="3" borderId="0" xfId="1" applyNumberFormat="1" applyFill="1" applyAlignment="1" applyProtection="1">
      <alignment vertical="center"/>
    </xf>
    <xf numFmtId="0" fontId="0" fillId="4" borderId="8" xfId="0" applyFill="1" applyBorder="1" applyAlignment="1" applyProtection="1">
      <alignment horizontal="center" vertical="center"/>
    </xf>
    <xf numFmtId="0" fontId="31" fillId="4" borderId="8" xfId="0" applyFont="1" applyFill="1" applyBorder="1" applyAlignment="1" applyProtection="1">
      <alignment vertical="center"/>
    </xf>
    <xf numFmtId="0" fontId="31" fillId="4" borderId="91" xfId="0" applyFont="1" applyFill="1" applyBorder="1" applyAlignment="1" applyProtection="1">
      <alignment vertical="center"/>
    </xf>
    <xf numFmtId="0" fontId="12" fillId="4" borderId="92" xfId="0" applyFont="1" applyFill="1" applyBorder="1" applyAlignment="1" applyProtection="1">
      <alignment horizontal="left" vertical="center" wrapText="1" indent="1"/>
    </xf>
    <xf numFmtId="0" fontId="12" fillId="4" borderId="3" xfId="0" applyFont="1" applyFill="1" applyBorder="1" applyAlignment="1" applyProtection="1">
      <alignment horizontal="left" vertical="center" wrapText="1" indent="1"/>
    </xf>
    <xf numFmtId="0" fontId="12" fillId="4" borderId="93" xfId="0" applyFont="1" applyFill="1" applyBorder="1" applyAlignment="1" applyProtection="1">
      <alignment horizontal="left" vertical="center" wrapText="1" indent="1"/>
    </xf>
    <xf numFmtId="0" fontId="12" fillId="4" borderId="1" xfId="0" applyFont="1" applyFill="1" applyBorder="1" applyAlignment="1" applyProtection="1">
      <alignment horizontal="left" vertical="center" wrapText="1" indent="1"/>
    </xf>
    <xf numFmtId="0" fontId="0" fillId="3" borderId="0" xfId="0" applyFill="1" applyAlignment="1" applyProtection="1">
      <alignment horizontal="center" vertical="center"/>
    </xf>
    <xf numFmtId="0" fontId="0" fillId="0" borderId="33" xfId="0" applyBorder="1" applyAlignment="1" applyProtection="1"/>
    <xf numFmtId="0" fontId="0" fillId="0" borderId="47" xfId="0" applyBorder="1" applyAlignment="1" applyProtection="1"/>
    <xf numFmtId="0" fontId="0" fillId="0" borderId="0" xfId="0" applyFill="1" applyAlignment="1" applyProtection="1"/>
    <xf numFmtId="0" fontId="13" fillId="5" borderId="75" xfId="0" applyFont="1" applyFill="1" applyBorder="1" applyAlignment="1" applyProtection="1">
      <alignment horizontal="center" vertical="center"/>
    </xf>
    <xf numFmtId="0" fontId="12" fillId="3" borderId="34" xfId="0" applyFont="1" applyFill="1" applyBorder="1" applyProtection="1"/>
    <xf numFmtId="0" fontId="13" fillId="5" borderId="76" xfId="0" applyFont="1" applyFill="1" applyBorder="1" applyAlignment="1" applyProtection="1">
      <alignment horizontal="center" vertical="center"/>
    </xf>
    <xf numFmtId="0" fontId="13" fillId="5" borderId="98" xfId="0" applyFont="1" applyFill="1" applyBorder="1" applyAlignment="1" applyProtection="1">
      <alignment horizontal="center" vertical="center"/>
    </xf>
    <xf numFmtId="0" fontId="36" fillId="0" borderId="46" xfId="0" applyFont="1" applyFill="1" applyBorder="1" applyAlignment="1" applyProtection="1">
      <alignment wrapText="1"/>
    </xf>
    <xf numFmtId="0" fontId="13" fillId="0" borderId="46" xfId="0" applyFont="1" applyFill="1" applyBorder="1" applyAlignment="1" applyProtection="1">
      <alignment horizontal="center" vertical="center"/>
    </xf>
    <xf numFmtId="0" fontId="36" fillId="0" borderId="45" xfId="0" applyFont="1" applyFill="1" applyBorder="1" applyAlignment="1" applyProtection="1">
      <alignment vertical="center" wrapText="1"/>
    </xf>
    <xf numFmtId="0" fontId="13" fillId="0" borderId="45" xfId="0" applyFont="1" applyFill="1" applyBorder="1" applyAlignment="1" applyProtection="1">
      <alignment horizontal="center" vertical="center"/>
    </xf>
    <xf numFmtId="0" fontId="13" fillId="0" borderId="45" xfId="0" applyFont="1"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2" fillId="0" borderId="51" xfId="0" applyFont="1" applyFill="1" applyBorder="1" applyAlignment="1" applyProtection="1">
      <alignment vertical="center"/>
    </xf>
    <xf numFmtId="0" fontId="2" fillId="0" borderId="33" xfId="0" applyFont="1" applyFill="1" applyBorder="1" applyAlignment="1" applyProtection="1">
      <alignment vertical="center"/>
    </xf>
    <xf numFmtId="0" fontId="13" fillId="0" borderId="33" xfId="0" applyFont="1" applyFill="1" applyBorder="1" applyAlignment="1" applyProtection="1">
      <alignment horizontal="center" vertical="center"/>
    </xf>
    <xf numFmtId="0" fontId="2" fillId="3" borderId="0" xfId="0" applyFont="1" applyFill="1" applyBorder="1" applyAlignment="1" applyProtection="1">
      <alignment vertical="center"/>
    </xf>
    <xf numFmtId="0" fontId="23" fillId="3" borderId="0" xfId="0" applyFont="1" applyFill="1" applyBorder="1" applyAlignment="1" applyProtection="1"/>
    <xf numFmtId="0" fontId="0" fillId="0" borderId="0" xfId="0" applyAlignment="1" applyProtection="1">
      <alignment wrapText="1"/>
    </xf>
    <xf numFmtId="0" fontId="0" fillId="0" borderId="46" xfId="0" applyFill="1" applyBorder="1" applyAlignment="1" applyProtection="1">
      <alignment vertical="center" wrapText="1"/>
    </xf>
    <xf numFmtId="0" fontId="2" fillId="3" borderId="69" xfId="0" applyFont="1" applyFill="1" applyBorder="1" applyAlignment="1" applyProtection="1">
      <alignment vertical="center"/>
      <protection locked="0"/>
    </xf>
    <xf numFmtId="167" fontId="12" fillId="0" borderId="75" xfId="0" applyNumberFormat="1" applyFont="1" applyFill="1" applyBorder="1" applyAlignment="1" applyProtection="1">
      <alignment horizontal="right" vertical="center"/>
      <protection locked="0"/>
    </xf>
    <xf numFmtId="167" fontId="12" fillId="0" borderId="1" xfId="0" applyNumberFormat="1" applyFont="1" applyFill="1" applyBorder="1" applyAlignment="1" applyProtection="1">
      <alignment horizontal="right" vertical="center"/>
      <protection locked="0"/>
    </xf>
    <xf numFmtId="167" fontId="12" fillId="0" borderId="28" xfId="0" applyNumberFormat="1" applyFont="1" applyFill="1" applyBorder="1" applyAlignment="1" applyProtection="1">
      <alignment horizontal="right" vertical="center"/>
      <protection locked="0"/>
    </xf>
    <xf numFmtId="0" fontId="0" fillId="3" borderId="33" xfId="0" applyFill="1" applyBorder="1" applyProtection="1"/>
    <xf numFmtId="0" fontId="2" fillId="0" borderId="32" xfId="0" applyFont="1" applyFill="1" applyBorder="1" applyProtection="1"/>
    <xf numFmtId="0" fontId="0" fillId="0" borderId="35" xfId="0" applyBorder="1" applyProtection="1"/>
    <xf numFmtId="0" fontId="0" fillId="0" borderId="68" xfId="0" applyFill="1" applyBorder="1" applyProtection="1"/>
    <xf numFmtId="0" fontId="0" fillId="0" borderId="99" xfId="0" applyFill="1" applyBorder="1" applyProtection="1"/>
    <xf numFmtId="0" fontId="0" fillId="0" borderId="46" xfId="0" applyFill="1" applyBorder="1" applyProtection="1"/>
    <xf numFmtId="0" fontId="0" fillId="3" borderId="11" xfId="0" applyFill="1" applyBorder="1" applyAlignment="1" applyProtection="1">
      <alignment vertical="center" wrapText="1"/>
    </xf>
    <xf numFmtId="0" fontId="0" fillId="3" borderId="100" xfId="0" applyFill="1" applyBorder="1" applyAlignment="1" applyProtection="1">
      <alignment vertical="center" wrapText="1"/>
    </xf>
    <xf numFmtId="167" fontId="15" fillId="0" borderId="0" xfId="0" applyNumberFormat="1" applyFont="1" applyFill="1" applyBorder="1" applyAlignment="1" applyProtection="1">
      <alignment horizontal="right"/>
    </xf>
    <xf numFmtId="167" fontId="15" fillId="3" borderId="0" xfId="0" applyNumberFormat="1" applyFont="1" applyFill="1" applyBorder="1" applyAlignment="1" applyProtection="1">
      <alignment horizontal="right"/>
    </xf>
    <xf numFmtId="167" fontId="15" fillId="0" borderId="68" xfId="0" applyNumberFormat="1" applyFont="1" applyFill="1" applyBorder="1" applyAlignment="1" applyProtection="1">
      <alignment horizontal="right"/>
    </xf>
    <xf numFmtId="2" fontId="15" fillId="3" borderId="10" xfId="0" applyNumberFormat="1" applyFont="1" applyFill="1" applyBorder="1" applyAlignment="1" applyProtection="1"/>
    <xf numFmtId="0" fontId="12" fillId="3" borderId="46" xfId="0" applyFont="1" applyFill="1" applyBorder="1" applyAlignment="1" applyProtection="1">
      <alignment horizontal="left" vertical="center" wrapText="1" indent="1"/>
    </xf>
    <xf numFmtId="0" fontId="0" fillId="3" borderId="45" xfId="0" applyFill="1" applyBorder="1" applyProtection="1"/>
    <xf numFmtId="0" fontId="11" fillId="3" borderId="0" xfId="0" applyFont="1" applyFill="1" applyBorder="1" applyAlignment="1" applyProtection="1">
      <alignment horizontal="center"/>
    </xf>
    <xf numFmtId="4" fontId="13" fillId="0" borderId="0" xfId="0" applyNumberFormat="1" applyFont="1" applyFill="1" applyBorder="1" applyAlignment="1" applyProtection="1"/>
    <xf numFmtId="0" fontId="13" fillId="3" borderId="0" xfId="0" applyFont="1" applyFill="1" applyBorder="1" applyAlignment="1" applyProtection="1">
      <alignment horizontal="center"/>
    </xf>
    <xf numFmtId="0" fontId="41" fillId="3" borderId="0" xfId="0" applyFont="1" applyFill="1" applyProtection="1"/>
    <xf numFmtId="0" fontId="0" fillId="4" borderId="49" xfId="0" applyFill="1" applyBorder="1" applyProtection="1"/>
    <xf numFmtId="0" fontId="0" fillId="7" borderId="0" xfId="0" applyFill="1" applyAlignment="1" applyProtection="1">
      <alignment horizontal="center"/>
    </xf>
    <xf numFmtId="0" fontId="15" fillId="3" borderId="0" xfId="0" applyNumberFormat="1" applyFont="1" applyFill="1" applyBorder="1" applyAlignment="1" applyProtection="1">
      <alignment horizontal="center"/>
    </xf>
    <xf numFmtId="0" fontId="15" fillId="9" borderId="0" xfId="0" applyNumberFormat="1" applyFont="1" applyFill="1" applyBorder="1" applyAlignment="1" applyProtection="1">
      <alignment horizontal="center"/>
    </xf>
    <xf numFmtId="0" fontId="15" fillId="3" borderId="0" xfId="0" applyNumberFormat="1" applyFont="1" applyFill="1" applyBorder="1" applyProtection="1"/>
    <xf numFmtId="0" fontId="50" fillId="3" borderId="0" xfId="0" applyNumberFormat="1" applyFont="1" applyFill="1" applyBorder="1" applyProtection="1"/>
    <xf numFmtId="0" fontId="36" fillId="0" borderId="34" xfId="0" applyFont="1" applyBorder="1" applyAlignment="1" applyProtection="1"/>
    <xf numFmtId="0" fontId="12" fillId="0" borderId="34" xfId="0" applyFont="1" applyFill="1" applyBorder="1" applyAlignment="1" applyProtection="1">
      <alignment horizontal="left" vertical="center"/>
    </xf>
    <xf numFmtId="0" fontId="36" fillId="0" borderId="0" xfId="0" applyFont="1" applyFill="1" applyBorder="1" applyAlignment="1" applyProtection="1"/>
    <xf numFmtId="0" fontId="12" fillId="0" borderId="99" xfId="0" applyFont="1" applyFill="1" applyBorder="1" applyAlignment="1" applyProtection="1">
      <alignment horizontal="center"/>
    </xf>
    <xf numFmtId="0" fontId="12" fillId="0" borderId="46" xfId="0" applyFont="1" applyFill="1" applyBorder="1" applyAlignment="1" applyProtection="1"/>
    <xf numFmtId="0" fontId="12" fillId="0" borderId="65" xfId="0" applyFont="1" applyBorder="1" applyAlignment="1" applyProtection="1"/>
    <xf numFmtId="0" fontId="12" fillId="0" borderId="45" xfId="0" applyFont="1" applyBorder="1" applyAlignment="1" applyProtection="1"/>
    <xf numFmtId="0" fontId="12" fillId="0" borderId="47" xfId="0" applyFont="1" applyFill="1" applyBorder="1" applyAlignment="1" applyProtection="1">
      <alignment horizontal="right" wrapText="1"/>
    </xf>
    <xf numFmtId="0" fontId="12" fillId="3" borderId="0" xfId="0" applyFont="1" applyFill="1" applyAlignment="1" applyProtection="1">
      <alignment wrapText="1"/>
    </xf>
    <xf numFmtId="0" fontId="12" fillId="0" borderId="41" xfId="0" applyFont="1" applyBorder="1" applyAlignment="1" applyProtection="1"/>
    <xf numFmtId="0" fontId="52" fillId="3" borderId="0" xfId="0" applyFont="1" applyFill="1" applyProtection="1"/>
    <xf numFmtId="0" fontId="4" fillId="3" borderId="0" xfId="0" applyFont="1" applyFill="1" applyAlignment="1" applyProtection="1">
      <alignment horizontal="center"/>
    </xf>
    <xf numFmtId="0" fontId="23" fillId="3" borderId="0" xfId="0" applyFont="1" applyFill="1" applyAlignment="1" applyProtection="1">
      <alignment horizontal="left"/>
    </xf>
    <xf numFmtId="0" fontId="12" fillId="0" borderId="101" xfId="0" applyFont="1" applyFill="1" applyBorder="1" applyAlignment="1" applyProtection="1"/>
    <xf numFmtId="0" fontId="12" fillId="0" borderId="54" xfId="0" applyFont="1" applyFill="1" applyBorder="1" applyAlignment="1" applyProtection="1"/>
    <xf numFmtId="0" fontId="12" fillId="0" borderId="55" xfId="0" applyFont="1" applyFill="1" applyBorder="1" applyAlignment="1" applyProtection="1"/>
    <xf numFmtId="0" fontId="12" fillId="0" borderId="102" xfId="0" applyFont="1" applyFill="1" applyBorder="1" applyAlignment="1" applyProtection="1">
      <alignment horizontal="center"/>
    </xf>
    <xf numFmtId="0" fontId="12" fillId="0" borderId="55" xfId="0" applyFont="1" applyFill="1" applyBorder="1" applyAlignment="1" applyProtection="1">
      <alignment horizontal="center"/>
    </xf>
    <xf numFmtId="0" fontId="12" fillId="0" borderId="102" xfId="0" applyFont="1" applyFill="1" applyBorder="1" applyAlignment="1" applyProtection="1"/>
    <xf numFmtId="0" fontId="12" fillId="0" borderId="54" xfId="0" applyFont="1" applyBorder="1" applyAlignment="1" applyProtection="1"/>
    <xf numFmtId="0" fontId="12" fillId="0" borderId="102" xfId="0" applyFont="1" applyBorder="1" applyAlignment="1" applyProtection="1"/>
    <xf numFmtId="0" fontId="12" fillId="0" borderId="79" xfId="0" applyFont="1" applyFill="1" applyBorder="1" applyAlignment="1" applyProtection="1"/>
    <xf numFmtId="0" fontId="12" fillId="0" borderId="80" xfId="0" applyFont="1" applyFill="1" applyBorder="1" applyAlignment="1" applyProtection="1"/>
    <xf numFmtId="49" fontId="9" fillId="3" borderId="1" xfId="13" applyNumberFormat="1" applyFont="1" applyFill="1" applyBorder="1" applyAlignment="1" applyProtection="1">
      <alignment vertical="center"/>
      <protection locked="0"/>
    </xf>
    <xf numFmtId="43" fontId="13" fillId="5" borderId="85" xfId="13" applyNumberFormat="1" applyFont="1" applyFill="1" applyBorder="1" applyAlignment="1" applyProtection="1">
      <alignment vertical="center" wrapText="1"/>
    </xf>
    <xf numFmtId="0" fontId="12" fillId="3" borderId="68" xfId="0" applyFont="1" applyFill="1" applyBorder="1" applyAlignment="1" applyProtection="1">
      <alignment horizontal="left" vertical="center" wrapText="1"/>
      <protection locked="0"/>
    </xf>
    <xf numFmtId="0" fontId="12" fillId="3" borderId="46"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99"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indent="1"/>
      <protection locked="0"/>
    </xf>
    <xf numFmtId="0" fontId="15" fillId="0" borderId="99" xfId="0" applyFont="1" applyFill="1" applyBorder="1" applyAlignment="1" applyProtection="1">
      <alignment horizontal="left" vertical="center" wrapText="1" indent="1"/>
      <protection locked="0"/>
    </xf>
    <xf numFmtId="0" fontId="15" fillId="0" borderId="46"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46" xfId="0" applyFill="1" applyBorder="1" applyAlignment="1" applyProtection="1">
      <alignment horizontal="left" vertical="center" wrapText="1" indent="1"/>
      <protection locked="0"/>
    </xf>
    <xf numFmtId="0" fontId="0" fillId="0" borderId="0" xfId="0" applyProtection="1">
      <protection locked="0"/>
    </xf>
    <xf numFmtId="0" fontId="18" fillId="0" borderId="62" xfId="0" applyFont="1" applyFill="1" applyBorder="1" applyAlignment="1" applyProtection="1"/>
    <xf numFmtId="0" fontId="13" fillId="0" borderId="54" xfId="0" applyFont="1" applyFill="1" applyBorder="1" applyAlignment="1" applyProtection="1">
      <alignment vertical="center"/>
    </xf>
    <xf numFmtId="0" fontId="13" fillId="0" borderId="62" xfId="0" applyFont="1" applyFill="1" applyBorder="1" applyAlignment="1" applyProtection="1">
      <alignment vertical="center"/>
    </xf>
    <xf numFmtId="0" fontId="13" fillId="0" borderId="62" xfId="0" applyFont="1" applyFill="1" applyBorder="1" applyAlignment="1" applyProtection="1">
      <alignment horizontal="center" vertical="top"/>
    </xf>
    <xf numFmtId="0" fontId="13" fillId="0" borderId="80" xfId="0" applyFont="1" applyFill="1" applyBorder="1" applyAlignment="1" applyProtection="1">
      <alignment horizontal="center" vertical="top"/>
    </xf>
    <xf numFmtId="0" fontId="13" fillId="0" borderId="62" xfId="0" applyFont="1" applyFill="1" applyBorder="1" applyAlignment="1" applyProtection="1">
      <alignment vertical="top"/>
    </xf>
    <xf numFmtId="0" fontId="13" fillId="0" borderId="54" xfId="0" applyFont="1" applyFill="1" applyBorder="1" applyAlignment="1" applyProtection="1">
      <alignment vertical="top"/>
    </xf>
    <xf numFmtId="0" fontId="12" fillId="0" borderId="79" xfId="0" applyFont="1" applyFill="1" applyBorder="1" applyProtection="1"/>
    <xf numFmtId="0" fontId="12" fillId="0" borderId="102" xfId="0" applyFont="1" applyFill="1" applyBorder="1" applyProtection="1"/>
    <xf numFmtId="0" fontId="12" fillId="0" borderId="101" xfId="0" applyFont="1" applyFill="1" applyBorder="1" applyProtection="1"/>
    <xf numFmtId="0" fontId="12" fillId="0" borderId="80" xfId="0" applyFont="1" applyFill="1" applyBorder="1" applyProtection="1"/>
    <xf numFmtId="0" fontId="12" fillId="0" borderId="62" xfId="0" applyFont="1" applyFill="1" applyBorder="1" applyProtection="1"/>
    <xf numFmtId="0" fontId="12" fillId="0" borderId="0" xfId="0" applyFont="1" applyBorder="1" applyAlignment="1" applyProtection="1"/>
    <xf numFmtId="0" fontId="12" fillId="3" borderId="45" xfId="0" applyFont="1" applyFill="1" applyBorder="1" applyAlignment="1" applyProtection="1"/>
    <xf numFmtId="0" fontId="12" fillId="0" borderId="38" xfId="0" applyFont="1" applyBorder="1" applyAlignment="1" applyProtection="1">
      <alignment vertical="center"/>
    </xf>
    <xf numFmtId="0" fontId="12" fillId="0" borderId="53" xfId="0" applyFont="1" applyBorder="1" applyAlignment="1" applyProtection="1"/>
    <xf numFmtId="0" fontId="12" fillId="3" borderId="51" xfId="0" applyFont="1" applyFill="1" applyBorder="1" applyAlignment="1" applyProtection="1"/>
    <xf numFmtId="0" fontId="12" fillId="0" borderId="46" xfId="0" applyFont="1" applyBorder="1" applyAlignment="1" applyProtection="1"/>
    <xf numFmtId="2" fontId="12" fillId="3" borderId="0" xfId="0" applyNumberFormat="1" applyFont="1" applyFill="1" applyBorder="1" applyAlignment="1" applyProtection="1"/>
    <xf numFmtId="0" fontId="12" fillId="0" borderId="35" xfId="0" applyFont="1" applyBorder="1" applyAlignment="1" applyProtection="1"/>
    <xf numFmtId="0" fontId="15" fillId="3" borderId="90" xfId="0" applyFont="1" applyFill="1" applyBorder="1" applyAlignment="1" applyProtection="1">
      <alignment horizontal="left" vertical="center" indent="1"/>
      <protection locked="0"/>
    </xf>
    <xf numFmtId="166" fontId="15" fillId="3" borderId="70" xfId="0" applyNumberFormat="1" applyFont="1" applyFill="1" applyBorder="1" applyAlignment="1" applyProtection="1">
      <alignment horizontal="left" vertical="center" indent="1"/>
      <protection locked="0"/>
    </xf>
    <xf numFmtId="0" fontId="12" fillId="0" borderId="1" xfId="0" applyFont="1" applyFill="1" applyBorder="1" applyAlignment="1" applyProtection="1">
      <alignment horizontal="center" vertical="center" wrapText="1"/>
      <protection locked="0"/>
    </xf>
    <xf numFmtId="0" fontId="12" fillId="0" borderId="85" xfId="0" applyFont="1" applyFill="1" applyBorder="1" applyAlignment="1" applyProtection="1">
      <alignment horizontal="center" vertical="center" wrapText="1"/>
      <protection locked="0"/>
    </xf>
    <xf numFmtId="3" fontId="15" fillId="4" borderId="1" xfId="0" applyNumberFormat="1" applyFont="1" applyFill="1" applyBorder="1" applyAlignment="1" applyProtection="1">
      <alignment horizontal="center"/>
    </xf>
    <xf numFmtId="3" fontId="15" fillId="3" borderId="0" xfId="0" applyNumberFormat="1" applyFont="1" applyFill="1" applyBorder="1" applyAlignment="1" applyProtection="1">
      <alignment horizontal="center"/>
    </xf>
    <xf numFmtId="0" fontId="0" fillId="4" borderId="103" xfId="0" applyFill="1" applyBorder="1" applyAlignment="1" applyProtection="1">
      <alignment horizontal="center"/>
    </xf>
    <xf numFmtId="0" fontId="13" fillId="10" borderId="7" xfId="0" applyFont="1" applyFill="1" applyBorder="1" applyAlignment="1" applyProtection="1">
      <alignment horizontal="center"/>
    </xf>
    <xf numFmtId="3" fontId="13" fillId="10" borderId="104" xfId="0" applyNumberFormat="1" applyFont="1" applyFill="1" applyBorder="1" applyAlignment="1" applyProtection="1">
      <alignment horizontal="center" wrapText="1"/>
    </xf>
    <xf numFmtId="4" fontId="23" fillId="11" borderId="105" xfId="0" applyNumberFormat="1" applyFont="1" applyFill="1" applyBorder="1" applyAlignment="1" applyProtection="1">
      <alignment horizontal="center" vertical="center" wrapText="1"/>
    </xf>
    <xf numFmtId="0" fontId="0" fillId="3" borderId="0" xfId="0" applyFill="1" applyProtection="1">
      <protection locked="0"/>
    </xf>
    <xf numFmtId="0" fontId="0" fillId="0" borderId="106" xfId="0" applyBorder="1" applyAlignment="1" applyProtection="1">
      <alignment horizontal="center" wrapText="1"/>
      <protection locked="0"/>
    </xf>
    <xf numFmtId="0" fontId="0" fillId="0" borderId="107" xfId="0" quotePrefix="1" applyBorder="1" applyAlignment="1" applyProtection="1">
      <alignment horizontal="center"/>
      <protection locked="0"/>
    </xf>
    <xf numFmtId="0" fontId="13" fillId="10" borderId="108" xfId="0" applyFont="1" applyFill="1" applyBorder="1" applyAlignment="1" applyProtection="1">
      <alignment horizontal="center" wrapText="1"/>
    </xf>
    <xf numFmtId="0" fontId="13" fillId="10" borderId="109" xfId="0" applyFont="1" applyFill="1" applyBorder="1" applyAlignment="1" applyProtection="1">
      <alignment horizontal="center" wrapText="1"/>
    </xf>
    <xf numFmtId="0" fontId="0" fillId="0" borderId="110" xfId="0" applyBorder="1" applyAlignment="1" applyProtection="1">
      <alignment horizontal="center"/>
      <protection locked="0"/>
    </xf>
    <xf numFmtId="0" fontId="0" fillId="0" borderId="106" xfId="0" applyBorder="1" applyAlignment="1" applyProtection="1">
      <alignment horizontal="left" wrapText="1"/>
      <protection locked="0"/>
    </xf>
    <xf numFmtId="0" fontId="0" fillId="0" borderId="111" xfId="0" applyBorder="1" applyAlignment="1" applyProtection="1">
      <alignment horizontal="center" wrapText="1"/>
      <protection locked="0"/>
    </xf>
    <xf numFmtId="0" fontId="0" fillId="0" borderId="112" xfId="0" applyBorder="1" applyAlignment="1" applyProtection="1">
      <alignment horizontal="center" wrapText="1"/>
      <protection locked="0"/>
    </xf>
    <xf numFmtId="0" fontId="0" fillId="0" borderId="112" xfId="0" applyBorder="1" applyAlignment="1" applyProtection="1">
      <alignment horizontal="left" wrapText="1"/>
      <protection locked="0"/>
    </xf>
    <xf numFmtId="0" fontId="0" fillId="11" borderId="98" xfId="0" applyFill="1" applyBorder="1" applyAlignment="1" applyProtection="1">
      <alignment horizontal="center" vertical="center"/>
    </xf>
    <xf numFmtId="0" fontId="0" fillId="11" borderId="103" xfId="0" applyFill="1" applyBorder="1" applyAlignment="1" applyProtection="1">
      <alignment horizontal="center"/>
    </xf>
    <xf numFmtId="0" fontId="6" fillId="0" borderId="10" xfId="0" applyFont="1" applyFill="1" applyBorder="1" applyAlignment="1" applyProtection="1">
      <alignment horizontal="left" vertical="center"/>
    </xf>
    <xf numFmtId="0" fontId="71" fillId="0" borderId="10" xfId="0" applyFont="1" applyFill="1" applyBorder="1" applyAlignment="1" applyProtection="1">
      <alignment horizontal="left" vertical="center"/>
    </xf>
    <xf numFmtId="0" fontId="12" fillId="3" borderId="51" xfId="0" applyFont="1" applyFill="1" applyBorder="1" applyAlignment="1" applyProtection="1">
      <alignment horizontal="center" vertical="center"/>
    </xf>
    <xf numFmtId="3" fontId="13" fillId="3" borderId="47" xfId="0" applyNumberFormat="1" applyFont="1" applyFill="1" applyBorder="1" applyAlignment="1" applyProtection="1">
      <alignment vertical="top"/>
    </xf>
    <xf numFmtId="3" fontId="13" fillId="3" borderId="54" xfId="0" applyNumberFormat="1" applyFont="1" applyFill="1" applyBorder="1" applyAlignment="1" applyProtection="1">
      <alignment horizontal="right"/>
    </xf>
    <xf numFmtId="0" fontId="44" fillId="0" borderId="33" xfId="0" applyFont="1" applyBorder="1" applyAlignment="1" applyProtection="1">
      <alignment vertical="center"/>
    </xf>
    <xf numFmtId="0" fontId="11" fillId="0" borderId="98" xfId="0" applyFont="1" applyFill="1" applyBorder="1" applyAlignment="1" applyProtection="1">
      <alignment vertical="center"/>
    </xf>
    <xf numFmtId="0" fontId="0" fillId="0" borderId="113" xfId="0" applyFill="1" applyBorder="1" applyAlignment="1" applyProtection="1"/>
    <xf numFmtId="0" fontId="15" fillId="4" borderId="114" xfId="0" applyNumberFormat="1" applyFont="1" applyFill="1" applyBorder="1" applyAlignment="1" applyProtection="1">
      <alignment horizontal="center" vertical="center" wrapText="1"/>
    </xf>
    <xf numFmtId="0" fontId="12" fillId="3" borderId="86" xfId="0" applyFont="1" applyFill="1" applyBorder="1" applyAlignment="1" applyProtection="1">
      <alignment horizontal="center" vertical="center" wrapText="1"/>
      <protection locked="0"/>
    </xf>
    <xf numFmtId="0" fontId="12" fillId="3" borderId="87" xfId="0" applyFont="1" applyFill="1" applyBorder="1" applyAlignment="1" applyProtection="1">
      <alignment vertical="center"/>
      <protection locked="0"/>
    </xf>
    <xf numFmtId="0" fontId="15" fillId="3" borderId="12" xfId="0" applyFont="1" applyFill="1" applyBorder="1" applyAlignment="1" applyProtection="1">
      <alignment horizontal="left" vertical="center" indent="1"/>
      <protection locked="0"/>
    </xf>
    <xf numFmtId="3" fontId="15" fillId="3" borderId="28" xfId="0" applyNumberFormat="1" applyFont="1" applyFill="1" applyBorder="1" applyAlignment="1" applyProtection="1">
      <alignment horizontal="center" vertical="center"/>
      <protection locked="0"/>
    </xf>
    <xf numFmtId="3" fontId="15" fillId="4" borderId="28" xfId="0" applyNumberFormat="1" applyFont="1" applyFill="1" applyBorder="1" applyAlignment="1" applyProtection="1">
      <alignment horizontal="center" vertical="center"/>
    </xf>
    <xf numFmtId="3" fontId="15" fillId="3" borderId="85" xfId="0" applyNumberFormat="1" applyFont="1" applyFill="1" applyBorder="1" applyAlignment="1" applyProtection="1">
      <alignment horizontal="center" vertical="center"/>
      <protection locked="0"/>
    </xf>
    <xf numFmtId="3" fontId="15" fillId="4" borderId="85" xfId="0" applyNumberFormat="1" applyFont="1" applyFill="1" applyBorder="1" applyAlignment="1" applyProtection="1">
      <alignment horizontal="center" vertical="center"/>
    </xf>
    <xf numFmtId="0" fontId="21" fillId="3" borderId="0" xfId="0" applyFont="1" applyFill="1" applyBorder="1" applyAlignment="1" applyProtection="1">
      <alignment horizontal="left" vertical="center"/>
    </xf>
    <xf numFmtId="0" fontId="36" fillId="3" borderId="0" xfId="0" applyFont="1" applyFill="1" applyAlignment="1" applyProtection="1"/>
    <xf numFmtId="0" fontId="2" fillId="3" borderId="0" xfId="0" applyFont="1" applyFill="1" applyAlignment="1" applyProtection="1">
      <alignment vertical="center"/>
    </xf>
    <xf numFmtId="0" fontId="2" fillId="3" borderId="0" xfId="0" applyFont="1" applyFill="1" applyBorder="1" applyProtection="1"/>
    <xf numFmtId="0" fontId="2" fillId="3" borderId="0" xfId="0" applyFont="1" applyFill="1" applyProtection="1"/>
    <xf numFmtId="0" fontId="0" fillId="3" borderId="32" xfId="0" applyFill="1" applyBorder="1" applyProtection="1"/>
    <xf numFmtId="0" fontId="0" fillId="3" borderId="32" xfId="0" applyFill="1" applyBorder="1" applyAlignment="1" applyProtection="1">
      <alignment vertical="center"/>
    </xf>
    <xf numFmtId="0" fontId="15" fillId="3" borderId="32" xfId="0" applyFont="1" applyFill="1" applyBorder="1" applyAlignment="1" applyProtection="1">
      <alignment vertical="center"/>
    </xf>
    <xf numFmtId="0" fontId="0" fillId="3" borderId="47" xfId="0" applyFill="1" applyBorder="1" applyProtection="1"/>
    <xf numFmtId="0" fontId="0" fillId="3" borderId="51" xfId="0" applyFill="1" applyBorder="1" applyProtection="1"/>
    <xf numFmtId="0" fontId="2" fillId="3" borderId="0" xfId="13" applyFill="1" applyProtection="1"/>
    <xf numFmtId="0" fontId="12" fillId="3" borderId="0" xfId="13" applyFont="1" applyFill="1" applyProtection="1"/>
    <xf numFmtId="0" fontId="12" fillId="3" borderId="0" xfId="13" applyFont="1" applyFill="1" applyBorder="1" applyAlignment="1" applyProtection="1"/>
    <xf numFmtId="0" fontId="12" fillId="3" borderId="0" xfId="13" applyFont="1" applyFill="1" applyBorder="1" applyProtection="1"/>
    <xf numFmtId="0" fontId="6" fillId="3" borderId="33" xfId="0" applyFont="1" applyFill="1" applyBorder="1" applyAlignment="1" applyProtection="1">
      <alignment horizontal="left"/>
    </xf>
    <xf numFmtId="0" fontId="17" fillId="3" borderId="33" xfId="0" applyFont="1" applyFill="1" applyBorder="1" applyAlignment="1" applyProtection="1">
      <alignment horizontal="left"/>
    </xf>
    <xf numFmtId="0" fontId="12" fillId="3" borderId="45" xfId="0" applyFont="1" applyFill="1" applyBorder="1" applyAlignment="1" applyProtection="1">
      <alignment horizontal="left" vertical="center" wrapText="1"/>
    </xf>
    <xf numFmtId="0" fontId="15" fillId="3" borderId="45" xfId="0" applyFont="1" applyFill="1" applyBorder="1" applyAlignment="1" applyProtection="1">
      <alignment horizontal="left" vertical="center" wrapText="1"/>
    </xf>
    <xf numFmtId="3" fontId="12" fillId="4" borderId="28" xfId="0" applyNumberFormat="1" applyFont="1" applyFill="1" applyBorder="1" applyAlignment="1" applyProtection="1">
      <alignment horizontal="center" vertical="center"/>
    </xf>
    <xf numFmtId="3" fontId="12" fillId="3" borderId="28" xfId="0" applyNumberFormat="1" applyFont="1" applyFill="1" applyBorder="1" applyAlignment="1" applyProtection="1">
      <alignment horizontal="center" vertical="center"/>
      <protection locked="0"/>
    </xf>
    <xf numFmtId="3" fontId="12" fillId="3" borderId="1" xfId="0" applyNumberFormat="1" applyFont="1" applyFill="1" applyBorder="1" applyAlignment="1" applyProtection="1">
      <alignment horizontal="center" vertical="center"/>
      <protection locked="0"/>
    </xf>
    <xf numFmtId="3" fontId="12" fillId="4" borderId="75" xfId="0" applyNumberFormat="1" applyFont="1" applyFill="1" applyBorder="1" applyAlignment="1" applyProtection="1">
      <alignment horizontal="center" vertical="center"/>
    </xf>
    <xf numFmtId="3" fontId="12" fillId="3" borderId="75" xfId="0" applyNumberFormat="1" applyFont="1" applyFill="1" applyBorder="1" applyAlignment="1" applyProtection="1">
      <alignment horizontal="center" vertical="center"/>
      <protection locked="0"/>
    </xf>
    <xf numFmtId="3" fontId="12" fillId="4" borderId="115" xfId="0" applyNumberFormat="1" applyFont="1" applyFill="1" applyBorder="1" applyAlignment="1" applyProtection="1">
      <alignment horizontal="center" vertical="center"/>
    </xf>
    <xf numFmtId="3" fontId="12" fillId="3" borderId="115" xfId="0" applyNumberFormat="1" applyFont="1" applyFill="1" applyBorder="1" applyAlignment="1" applyProtection="1">
      <alignment horizontal="center" vertical="center"/>
      <protection locked="0"/>
    </xf>
    <xf numFmtId="3" fontId="12" fillId="4" borderId="26" xfId="0" applyNumberFormat="1" applyFont="1" applyFill="1" applyBorder="1" applyAlignment="1" applyProtection="1">
      <alignment horizontal="center" vertical="center"/>
    </xf>
    <xf numFmtId="3" fontId="12" fillId="3" borderId="26" xfId="0" applyNumberFormat="1" applyFont="1" applyFill="1" applyBorder="1" applyAlignment="1" applyProtection="1">
      <alignment horizontal="center" vertical="center"/>
      <protection locked="0"/>
    </xf>
    <xf numFmtId="3" fontId="12" fillId="3" borderId="116" xfId="0" applyNumberFormat="1" applyFont="1" applyFill="1" applyBorder="1" applyAlignment="1" applyProtection="1">
      <alignment horizontal="center" vertical="center"/>
      <protection locked="0"/>
    </xf>
    <xf numFmtId="168" fontId="2" fillId="4" borderId="69" xfId="0" applyNumberFormat="1" applyFont="1" applyFill="1" applyBorder="1" applyAlignment="1" applyProtection="1">
      <alignment horizontal="center" vertical="center"/>
    </xf>
    <xf numFmtId="0" fontId="8" fillId="3" borderId="117"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40" fontId="8" fillId="3" borderId="0" xfId="0" applyNumberFormat="1" applyFont="1" applyFill="1" applyBorder="1" applyAlignment="1" applyProtection="1">
      <alignment horizontal="center" vertical="center"/>
    </xf>
    <xf numFmtId="168" fontId="8" fillId="4" borderId="69"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3" borderId="45" xfId="0" applyFont="1" applyFill="1" applyBorder="1" applyAlignment="1" applyProtection="1">
      <alignment horizontal="center" vertical="center"/>
    </xf>
    <xf numFmtId="0" fontId="2" fillId="3" borderId="117" xfId="0" applyFont="1" applyFill="1" applyBorder="1" applyAlignment="1" applyProtection="1">
      <alignment horizontal="center" vertical="center"/>
    </xf>
    <xf numFmtId="3" fontId="12" fillId="4" borderId="19" xfId="0" applyNumberFormat="1" applyFont="1" applyFill="1" applyBorder="1" applyAlignment="1" applyProtection="1">
      <alignment horizontal="center" vertical="center"/>
    </xf>
    <xf numFmtId="3" fontId="12" fillId="4" borderId="21" xfId="0" applyNumberFormat="1" applyFont="1" applyFill="1" applyBorder="1" applyAlignment="1" applyProtection="1">
      <alignment horizontal="center" vertical="center"/>
    </xf>
    <xf numFmtId="3" fontId="12" fillId="0" borderId="21" xfId="0" applyNumberFormat="1" applyFont="1" applyFill="1" applyBorder="1" applyAlignment="1" applyProtection="1">
      <alignment horizontal="center" vertical="center"/>
      <protection locked="0"/>
    </xf>
    <xf numFmtId="3" fontId="12" fillId="4" borderId="24" xfId="0" applyNumberFormat="1" applyFont="1" applyFill="1" applyBorder="1" applyAlignment="1" applyProtection="1">
      <alignment horizontal="center" vertical="center"/>
    </xf>
    <xf numFmtId="3" fontId="12" fillId="0" borderId="24" xfId="0" applyNumberFormat="1" applyFont="1" applyFill="1" applyBorder="1" applyAlignment="1" applyProtection="1">
      <alignment horizontal="center" vertical="center"/>
      <protection locked="0"/>
    </xf>
    <xf numFmtId="0" fontId="13" fillId="3" borderId="50" xfId="0" applyFont="1" applyFill="1" applyBorder="1" applyAlignment="1" applyProtection="1">
      <alignment vertical="center"/>
    </xf>
    <xf numFmtId="0" fontId="2" fillId="3" borderId="39" xfId="0" applyFont="1" applyFill="1" applyBorder="1" applyAlignment="1" applyProtection="1"/>
    <xf numFmtId="0" fontId="12" fillId="3" borderId="40" xfId="0" applyFont="1" applyFill="1" applyBorder="1" applyAlignment="1" applyProtection="1">
      <alignment horizontal="left" indent="1"/>
    </xf>
    <xf numFmtId="0" fontId="12" fillId="3" borderId="49" xfId="0" applyFont="1" applyFill="1" applyBorder="1" applyAlignment="1" applyProtection="1">
      <alignment horizontal="left" indent="1"/>
    </xf>
    <xf numFmtId="0" fontId="12" fillId="3" borderId="39" xfId="0" applyFont="1" applyFill="1" applyBorder="1" applyAlignment="1" applyProtection="1">
      <alignment horizontal="left" indent="1"/>
    </xf>
    <xf numFmtId="0" fontId="12" fillId="3" borderId="45" xfId="0" applyFont="1" applyFill="1" applyBorder="1" applyProtection="1"/>
    <xf numFmtId="0" fontId="12" fillId="3" borderId="41" xfId="0" applyFont="1" applyFill="1" applyBorder="1" applyProtection="1"/>
    <xf numFmtId="0" fontId="2" fillId="3" borderId="38" xfId="0" applyFont="1" applyFill="1" applyBorder="1" applyAlignment="1" applyProtection="1"/>
    <xf numFmtId="0" fontId="2" fillId="3" borderId="0" xfId="0" applyFont="1" applyFill="1" applyBorder="1" applyAlignment="1" applyProtection="1"/>
    <xf numFmtId="0" fontId="12" fillId="3" borderId="38" xfId="0" applyFont="1" applyFill="1" applyBorder="1" applyAlignment="1" applyProtection="1">
      <alignment horizontal="left" indent="1"/>
    </xf>
    <xf numFmtId="0" fontId="12" fillId="3" borderId="41" xfId="0" applyFont="1" applyFill="1" applyBorder="1" applyAlignment="1" applyProtection="1">
      <alignment horizontal="left" indent="1"/>
    </xf>
    <xf numFmtId="0" fontId="12" fillId="3" borderId="32" xfId="0" applyFont="1" applyFill="1" applyBorder="1" applyAlignment="1" applyProtection="1">
      <alignment horizontal="left" indent="1"/>
    </xf>
    <xf numFmtId="0" fontId="12" fillId="3" borderId="47" xfId="0" applyFont="1" applyFill="1" applyBorder="1" applyProtection="1"/>
    <xf numFmtId="0" fontId="0" fillId="3" borderId="99" xfId="0" applyFill="1" applyBorder="1" applyProtection="1"/>
    <xf numFmtId="0" fontId="13" fillId="3" borderId="0" xfId="0" applyFont="1" applyFill="1" applyBorder="1" applyAlignment="1" applyProtection="1">
      <alignment horizontal="center"/>
      <protection locked="0"/>
    </xf>
    <xf numFmtId="3" fontId="12" fillId="3" borderId="0" xfId="0" applyNumberFormat="1" applyFont="1" applyFill="1" applyProtection="1"/>
    <xf numFmtId="3" fontId="12" fillId="0" borderId="0" xfId="0" applyNumberFormat="1" applyFont="1" applyProtection="1"/>
    <xf numFmtId="0" fontId="12" fillId="0" borderId="33" xfId="0" applyFont="1" applyBorder="1" applyProtection="1"/>
    <xf numFmtId="3" fontId="13" fillId="0" borderId="54" xfId="0" applyNumberFormat="1" applyFont="1" applyBorder="1" applyAlignment="1" applyProtection="1">
      <alignment horizontal="center"/>
    </xf>
    <xf numFmtId="3" fontId="12" fillId="3" borderId="27" xfId="0" applyNumberFormat="1" applyFont="1" applyFill="1" applyBorder="1" applyAlignment="1" applyProtection="1"/>
    <xf numFmtId="0" fontId="12" fillId="0" borderId="118" xfId="0" applyFont="1" applyFill="1" applyBorder="1" applyAlignment="1" applyProtection="1"/>
    <xf numFmtId="0" fontId="12" fillId="0" borderId="66" xfId="0" applyFont="1" applyBorder="1" applyAlignment="1" applyProtection="1"/>
    <xf numFmtId="0" fontId="12" fillId="0" borderId="119" xfId="0" applyFont="1" applyFill="1" applyBorder="1" applyAlignment="1" applyProtection="1"/>
    <xf numFmtId="0" fontId="12" fillId="0" borderId="34" xfId="0" quotePrefix="1" applyFont="1" applyFill="1" applyBorder="1" applyAlignment="1" applyProtection="1"/>
    <xf numFmtId="0" fontId="12" fillId="0" borderId="0" xfId="0" applyFont="1" applyAlignment="1" applyProtection="1">
      <alignment horizontal="left" indent="1"/>
    </xf>
    <xf numFmtId="3" fontId="13" fillId="4" borderId="54" xfId="0" applyNumberFormat="1" applyFont="1" applyFill="1" applyBorder="1" applyAlignment="1" applyProtection="1"/>
    <xf numFmtId="0" fontId="12" fillId="3" borderId="75" xfId="0" applyFont="1" applyFill="1" applyBorder="1" applyAlignment="1" applyProtection="1"/>
    <xf numFmtId="38" fontId="12" fillId="3" borderId="75" xfId="0" applyNumberFormat="1" applyFont="1" applyFill="1" applyBorder="1" applyProtection="1"/>
    <xf numFmtId="38" fontId="12" fillId="3" borderId="75" xfId="0" applyNumberFormat="1" applyFont="1" applyFill="1" applyBorder="1" applyAlignment="1" applyProtection="1"/>
    <xf numFmtId="0" fontId="12" fillId="3" borderId="1" xfId="0" applyFont="1" applyFill="1" applyBorder="1" applyAlignment="1" applyProtection="1"/>
    <xf numFmtId="38" fontId="12" fillId="3" borderId="1" xfId="0" applyNumberFormat="1" applyFont="1" applyFill="1" applyBorder="1" applyProtection="1"/>
    <xf numFmtId="38" fontId="12" fillId="3" borderId="1" xfId="0" applyNumberFormat="1" applyFont="1" applyFill="1" applyBorder="1" applyAlignment="1" applyProtection="1"/>
    <xf numFmtId="0" fontId="12" fillId="3" borderId="28" xfId="0" applyFont="1" applyFill="1" applyBorder="1" applyAlignment="1" applyProtection="1"/>
    <xf numFmtId="38" fontId="12" fillId="3" borderId="28" xfId="0" applyNumberFormat="1" applyFont="1" applyFill="1" applyBorder="1" applyProtection="1"/>
    <xf numFmtId="38" fontId="12" fillId="3" borderId="28" xfId="0" applyNumberFormat="1" applyFont="1" applyFill="1" applyBorder="1" applyAlignment="1" applyProtection="1"/>
    <xf numFmtId="0" fontId="12" fillId="9" borderId="0" xfId="0" applyFont="1" applyFill="1" applyBorder="1" applyProtection="1"/>
    <xf numFmtId="0" fontId="12" fillId="9" borderId="0" xfId="0" applyFont="1" applyFill="1" applyBorder="1" applyAlignment="1" applyProtection="1">
      <alignment horizontal="center"/>
    </xf>
    <xf numFmtId="3" fontId="12" fillId="4" borderId="1" xfId="0" applyNumberFormat="1" applyFont="1" applyFill="1" applyBorder="1" applyProtection="1"/>
    <xf numFmtId="3" fontId="12" fillId="3" borderId="0" xfId="0" applyNumberFormat="1" applyFont="1" applyFill="1" applyBorder="1" applyAlignment="1" applyProtection="1"/>
    <xf numFmtId="3" fontId="12" fillId="3" borderId="0" xfId="0" applyNumberFormat="1" applyFont="1" applyFill="1" applyBorder="1" applyProtection="1"/>
    <xf numFmtId="0" fontId="12" fillId="4" borderId="93" xfId="0" applyFont="1" applyFill="1" applyBorder="1" applyAlignment="1" applyProtection="1">
      <alignment horizontal="center" vertical="center" wrapText="1"/>
    </xf>
    <xf numFmtId="170" fontId="12" fillId="4" borderId="1" xfId="0" applyNumberFormat="1"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1" fillId="0" borderId="53" xfId="0" applyFont="1" applyFill="1" applyBorder="1" applyAlignment="1" applyProtection="1">
      <alignment horizontal="center"/>
    </xf>
    <xf numFmtId="0" fontId="2" fillId="3" borderId="35" xfId="0" applyFont="1" applyFill="1" applyBorder="1" applyAlignment="1" applyProtection="1"/>
    <xf numFmtId="0" fontId="12" fillId="3" borderId="0" xfId="0" applyFont="1" applyFill="1" applyBorder="1" applyAlignment="1" applyProtection="1">
      <alignment horizontal="left" indent="1"/>
    </xf>
    <xf numFmtId="0" fontId="12" fillId="3" borderId="35" xfId="0" applyFont="1" applyFill="1" applyBorder="1" applyAlignment="1" applyProtection="1">
      <alignment horizontal="left" indent="1"/>
    </xf>
    <xf numFmtId="0" fontId="12" fillId="3" borderId="35" xfId="0" applyFont="1" applyFill="1" applyBorder="1" applyProtection="1"/>
    <xf numFmtId="0" fontId="0" fillId="3" borderId="46" xfId="0" applyFill="1" applyBorder="1" applyProtection="1"/>
    <xf numFmtId="166" fontId="12" fillId="3" borderId="16" xfId="0" applyNumberFormat="1" applyFont="1" applyFill="1" applyBorder="1" applyAlignment="1" applyProtection="1">
      <alignment horizontal="left" vertical="center" indent="1"/>
      <protection locked="0"/>
    </xf>
    <xf numFmtId="0" fontId="2" fillId="0" borderId="33" xfId="0" applyFont="1" applyBorder="1" applyProtection="1"/>
    <xf numFmtId="0" fontId="0" fillId="0" borderId="0" xfId="0" applyFill="1" applyProtection="1">
      <protection locked="0"/>
    </xf>
    <xf numFmtId="0" fontId="72" fillId="3" borderId="0" xfId="0" applyFont="1" applyFill="1" applyProtection="1">
      <protection locked="0"/>
    </xf>
    <xf numFmtId="0" fontId="72" fillId="3" borderId="0" xfId="0" applyFont="1" applyFill="1" applyProtection="1"/>
    <xf numFmtId="0" fontId="72" fillId="3" borderId="0" xfId="0" applyFont="1" applyFill="1" applyBorder="1" applyAlignment="1" applyProtection="1"/>
    <xf numFmtId="0" fontId="72" fillId="3" borderId="0" xfId="0" applyFont="1" applyFill="1" applyBorder="1" applyProtection="1"/>
    <xf numFmtId="0" fontId="2" fillId="0" borderId="0" xfId="0" applyFont="1" applyFill="1" applyProtection="1">
      <protection locked="0"/>
    </xf>
    <xf numFmtId="0" fontId="2" fillId="3" borderId="0" xfId="0" applyFont="1" applyFill="1" applyProtection="1">
      <protection locked="0"/>
    </xf>
    <xf numFmtId="0" fontId="72" fillId="3" borderId="0" xfId="0" applyFont="1" applyFill="1" applyAlignment="1" applyProtection="1">
      <alignment horizontal="left" indent="1"/>
    </xf>
    <xf numFmtId="0" fontId="72" fillId="3" borderId="0" xfId="0" applyFont="1" applyFill="1" applyBorder="1" applyAlignment="1" applyProtection="1">
      <alignment horizontal="left" wrapText="1" indent="1"/>
      <protection locked="0"/>
    </xf>
    <xf numFmtId="165" fontId="72" fillId="3" borderId="0" xfId="6" applyNumberFormat="1" applyFont="1" applyFill="1" applyProtection="1"/>
    <xf numFmtId="0" fontId="72" fillId="3" borderId="0" xfId="0" applyFont="1" applyFill="1" applyAlignment="1" applyProtection="1">
      <alignment horizontal="left"/>
    </xf>
    <xf numFmtId="165" fontId="72" fillId="3" borderId="0" xfId="6" applyNumberFormat="1" applyFont="1" applyFill="1" applyAlignment="1" applyProtection="1">
      <alignment vertical="center"/>
    </xf>
    <xf numFmtId="0" fontId="72" fillId="3" borderId="0" xfId="0" applyFont="1" applyFill="1" applyAlignment="1" applyProtection="1">
      <alignment vertical="center"/>
    </xf>
    <xf numFmtId="165" fontId="72" fillId="3" borderId="0" xfId="6" applyNumberFormat="1" applyFont="1" applyFill="1" applyAlignment="1" applyProtection="1">
      <alignment horizontal="left"/>
    </xf>
    <xf numFmtId="0" fontId="0" fillId="0" borderId="0" xfId="0" applyAlignment="1" applyProtection="1">
      <alignment vertical="center"/>
      <protection locked="0"/>
    </xf>
    <xf numFmtId="0" fontId="0" fillId="3" borderId="0" xfId="0" applyFill="1" applyAlignment="1" applyProtection="1">
      <alignment vertical="center"/>
      <protection locked="0"/>
    </xf>
    <xf numFmtId="0" fontId="12" fillId="3" borderId="0" xfId="0" applyFont="1" applyFill="1" applyBorder="1" applyAlignment="1" applyProtection="1">
      <alignment horizontal="left" vertical="center" indent="1"/>
    </xf>
    <xf numFmtId="166" fontId="12" fillId="3" borderId="0" xfId="0" applyNumberFormat="1" applyFont="1" applyFill="1" applyBorder="1" applyAlignment="1" applyProtection="1">
      <alignment horizontal="left" vertical="center" indent="1"/>
    </xf>
    <xf numFmtId="0" fontId="0" fillId="3" borderId="0" xfId="0" applyFill="1"/>
    <xf numFmtId="0" fontId="12" fillId="0" borderId="0" xfId="0" applyFont="1" applyFill="1" applyBorder="1" applyAlignment="1" applyProtection="1">
      <alignment horizontal="left" vertical="center" indent="1"/>
    </xf>
    <xf numFmtId="0" fontId="11" fillId="0" borderId="0" xfId="0" applyFont="1" applyFill="1" applyBorder="1" applyAlignment="1" applyProtection="1">
      <alignment horizontal="left" vertical="center"/>
    </xf>
    <xf numFmtId="0" fontId="0" fillId="3" borderId="0" xfId="0" applyFill="1" applyAlignment="1" applyProtection="1">
      <alignment horizontal="left" vertical="center"/>
      <protection locked="0"/>
    </xf>
    <xf numFmtId="0" fontId="0" fillId="3" borderId="0" xfId="0" applyFill="1" applyBorder="1" applyProtection="1">
      <protection locked="0"/>
    </xf>
    <xf numFmtId="165" fontId="63" fillId="3" borderId="0" xfId="6" applyNumberFormat="1" applyFill="1" applyBorder="1" applyProtection="1"/>
    <xf numFmtId="0" fontId="13" fillId="5" borderId="120" xfId="0" applyFont="1" applyFill="1" applyBorder="1" applyAlignment="1" applyProtection="1">
      <alignment horizontal="center" vertical="center" wrapText="1"/>
    </xf>
    <xf numFmtId="3" fontId="15" fillId="4" borderId="3" xfId="0" applyNumberFormat="1" applyFont="1" applyFill="1" applyBorder="1" applyAlignment="1" applyProtection="1">
      <alignment horizontal="center" vertical="center"/>
    </xf>
    <xf numFmtId="0" fontId="13" fillId="5" borderId="120" xfId="0" applyFont="1" applyFill="1" applyBorder="1" applyAlignment="1" applyProtection="1">
      <alignment horizontal="center" vertical="center"/>
    </xf>
    <xf numFmtId="43" fontId="12" fillId="3" borderId="1" xfId="13" applyNumberFormat="1" applyFont="1" applyFill="1" applyBorder="1" applyAlignment="1" applyProtection="1">
      <alignment horizontal="left" vertical="center" wrapText="1"/>
      <protection locked="0"/>
    </xf>
    <xf numFmtId="43" fontId="13" fillId="5" borderId="13" xfId="13" applyNumberFormat="1" applyFont="1" applyFill="1" applyBorder="1" applyAlignment="1" applyProtection="1">
      <alignment vertical="center" wrapText="1"/>
    </xf>
    <xf numFmtId="43" fontId="12" fillId="3" borderId="16" xfId="13" applyNumberFormat="1" applyFont="1" applyFill="1" applyBorder="1" applyAlignment="1" applyProtection="1">
      <alignment horizontal="left" vertical="center" wrapText="1"/>
      <protection locked="0"/>
    </xf>
    <xf numFmtId="43" fontId="13" fillId="5" borderId="4" xfId="13" applyNumberFormat="1" applyFont="1" applyFill="1" applyBorder="1" applyAlignment="1" applyProtection="1">
      <alignment vertical="center" wrapText="1"/>
    </xf>
    <xf numFmtId="43" fontId="13" fillId="5" borderId="96" xfId="13" applyNumberFormat="1" applyFont="1" applyFill="1" applyBorder="1" applyAlignment="1" applyProtection="1">
      <alignment vertical="center" wrapText="1"/>
    </xf>
    <xf numFmtId="43" fontId="13" fillId="5" borderId="69" xfId="13" applyNumberFormat="1" applyFont="1" applyFill="1" applyBorder="1" applyAlignment="1" applyProtection="1">
      <alignment vertical="center" wrapText="1"/>
    </xf>
    <xf numFmtId="0" fontId="13" fillId="3" borderId="116" xfId="0" applyFont="1" applyFill="1" applyBorder="1" applyAlignment="1" applyProtection="1">
      <alignment horizontal="center" vertical="top"/>
    </xf>
    <xf numFmtId="0" fontId="12" fillId="3" borderId="116" xfId="0" applyFont="1" applyFill="1" applyBorder="1" applyAlignment="1" applyProtection="1"/>
    <xf numFmtId="43" fontId="12" fillId="3" borderId="75" xfId="0" applyNumberFormat="1" applyFont="1" applyFill="1" applyBorder="1" applyAlignment="1" applyProtection="1">
      <alignment horizontal="left" vertical="center"/>
      <protection locked="0"/>
    </xf>
    <xf numFmtId="43" fontId="12" fillId="12" borderId="1" xfId="0" applyNumberFormat="1" applyFont="1" applyFill="1" applyBorder="1" applyAlignment="1" applyProtection="1">
      <alignment horizontal="left" vertical="center"/>
      <protection locked="0"/>
    </xf>
    <xf numFmtId="169" fontId="12" fillId="3" borderId="75" xfId="0" applyNumberFormat="1" applyFont="1" applyFill="1" applyBorder="1" applyAlignment="1" applyProtection="1">
      <alignment horizontal="left" vertical="center"/>
      <protection locked="0"/>
    </xf>
    <xf numFmtId="43" fontId="12" fillId="9" borderId="75" xfId="0" applyNumberFormat="1" applyFont="1" applyFill="1" applyBorder="1" applyProtection="1"/>
    <xf numFmtId="43" fontId="12" fillId="9" borderId="1" xfId="0" applyNumberFormat="1" applyFont="1" applyFill="1" applyBorder="1" applyProtection="1"/>
    <xf numFmtId="43" fontId="12" fillId="13" borderId="75" xfId="0" applyNumberFormat="1" applyFont="1" applyFill="1" applyBorder="1" applyAlignment="1" applyProtection="1">
      <alignment horizontal="left" vertical="center"/>
      <protection locked="0"/>
    </xf>
    <xf numFmtId="169" fontId="12" fillId="12" borderId="1" xfId="0" applyNumberFormat="1" applyFont="1" applyFill="1" applyBorder="1" applyAlignment="1" applyProtection="1">
      <alignment horizontal="right" vertical="center"/>
      <protection locked="0"/>
    </xf>
    <xf numFmtId="3" fontId="12" fillId="0" borderId="102" xfId="0" applyNumberFormat="1" applyFont="1" applyFill="1" applyBorder="1" applyAlignment="1" applyProtection="1">
      <alignment horizontal="right"/>
      <protection locked="0"/>
    </xf>
    <xf numFmtId="15" fontId="12" fillId="3" borderId="1" xfId="0" applyNumberFormat="1" applyFont="1" applyFill="1" applyBorder="1" applyAlignment="1" applyProtection="1">
      <alignment horizontal="center" vertical="center"/>
      <protection locked="0"/>
    </xf>
    <xf numFmtId="0" fontId="14" fillId="4" borderId="121" xfId="0" applyFont="1" applyFill="1" applyBorder="1" applyAlignment="1" applyProtection="1">
      <alignment vertical="center"/>
    </xf>
    <xf numFmtId="0" fontId="17" fillId="2" borderId="11"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2" fillId="0" borderId="4" xfId="0" applyFont="1" applyFill="1" applyBorder="1" applyAlignment="1" applyProtection="1">
      <alignment horizontal="left" vertical="center" wrapText="1"/>
      <protection locked="0"/>
    </xf>
    <xf numFmtId="167" fontId="12" fillId="0" borderId="4" xfId="0" applyNumberFormat="1" applyFont="1" applyFill="1" applyBorder="1" applyAlignment="1" applyProtection="1">
      <alignment horizontal="left" vertical="center" wrapText="1"/>
      <protection locked="0"/>
    </xf>
    <xf numFmtId="167" fontId="12" fillId="0" borderId="96" xfId="0" applyNumberFormat="1" applyFont="1" applyFill="1" applyBorder="1" applyAlignment="1" applyProtection="1">
      <alignment horizontal="left" vertical="center" wrapText="1"/>
      <protection locked="0"/>
    </xf>
    <xf numFmtId="3" fontId="12" fillId="0" borderId="0" xfId="0" applyNumberFormat="1" applyFont="1" applyFill="1" applyBorder="1" applyAlignment="1" applyProtection="1">
      <alignment horizontal="right"/>
      <protection locked="0"/>
    </xf>
    <xf numFmtId="0" fontId="0" fillId="3" borderId="1" xfId="0" applyFill="1" applyBorder="1" applyAlignment="1" applyProtection="1">
      <alignment horizontal="center" vertical="center"/>
      <protection locked="0"/>
    </xf>
    <xf numFmtId="0" fontId="12" fillId="14" borderId="1" xfId="0" applyNumberFormat="1" applyFont="1" applyFill="1" applyBorder="1" applyAlignment="1" applyProtection="1">
      <alignment horizontal="center" vertical="center" wrapText="1"/>
    </xf>
    <xf numFmtId="0" fontId="15" fillId="0" borderId="68" xfId="0" applyFont="1" applyFill="1" applyBorder="1" applyAlignment="1" applyProtection="1">
      <alignment horizontal="left" vertical="center" wrapText="1" indent="1"/>
      <protection locked="0"/>
    </xf>
    <xf numFmtId="167" fontId="12" fillId="4" borderId="122" xfId="0" applyNumberFormat="1" applyFont="1" applyFill="1" applyBorder="1" applyAlignment="1" applyProtection="1">
      <alignment horizontal="right" vertical="center"/>
    </xf>
    <xf numFmtId="167" fontId="12" fillId="14" borderId="122" xfId="0" applyNumberFormat="1" applyFont="1" applyFill="1" applyBorder="1" applyAlignment="1" applyProtection="1">
      <alignment horizontal="right" vertical="center"/>
    </xf>
    <xf numFmtId="0" fontId="13" fillId="4" borderId="12" xfId="13" applyFont="1" applyFill="1" applyBorder="1" applyAlignment="1" applyProtection="1">
      <alignment wrapText="1"/>
    </xf>
    <xf numFmtId="0" fontId="9" fillId="3" borderId="0" xfId="13" applyFont="1" applyFill="1" applyProtection="1"/>
    <xf numFmtId="0" fontId="12" fillId="0" borderId="0" xfId="13" applyFont="1" applyFill="1" applyProtection="1"/>
    <xf numFmtId="0" fontId="13" fillId="4" borderId="1" xfId="13" applyFont="1" applyFill="1" applyBorder="1" applyAlignment="1" applyProtection="1">
      <alignment vertical="center" wrapText="1"/>
    </xf>
    <xf numFmtId="0" fontId="12" fillId="3" borderId="0" xfId="13" applyFont="1" applyFill="1" applyAlignment="1" applyProtection="1">
      <alignment horizontal="left"/>
    </xf>
    <xf numFmtId="0" fontId="2" fillId="3" borderId="0" xfId="13" applyFill="1" applyAlignment="1" applyProtection="1">
      <alignment horizontal="left"/>
    </xf>
    <xf numFmtId="0" fontId="12" fillId="3" borderId="1" xfId="13" applyFont="1" applyFill="1" applyBorder="1" applyAlignment="1" applyProtection="1">
      <alignment horizontal="left" vertical="center"/>
    </xf>
    <xf numFmtId="0" fontId="12" fillId="3" borderId="0" xfId="13" applyFont="1" applyFill="1" applyBorder="1" applyAlignment="1" applyProtection="1">
      <alignment horizontal="left"/>
    </xf>
    <xf numFmtId="0" fontId="12" fillId="3" borderId="0" xfId="13" applyFont="1" applyFill="1" applyBorder="1" applyAlignment="1" applyProtection="1">
      <alignment vertical="center"/>
    </xf>
    <xf numFmtId="43" fontId="12" fillId="3" borderId="0" xfId="13" applyNumberFormat="1" applyFont="1" applyFill="1" applyBorder="1" applyAlignment="1" applyProtection="1">
      <alignment horizontal="left" vertical="center" wrapText="1"/>
      <protection locked="0"/>
    </xf>
    <xf numFmtId="0" fontId="8" fillId="4" borderId="0" xfId="0" applyFont="1" applyFill="1" applyProtection="1"/>
    <xf numFmtId="0" fontId="59" fillId="3" borderId="4" xfId="0" applyFont="1" applyFill="1" applyBorder="1" applyAlignment="1" applyProtection="1">
      <alignment wrapText="1"/>
    </xf>
    <xf numFmtId="0" fontId="65" fillId="4" borderId="98" xfId="0" applyFont="1" applyFill="1" applyBorder="1" applyAlignment="1" applyProtection="1">
      <alignment horizontal="left"/>
    </xf>
    <xf numFmtId="0" fontId="23" fillId="11" borderId="123" xfId="0" applyFont="1" applyFill="1" applyBorder="1" applyAlignment="1" applyProtection="1">
      <alignment horizontal="right" vertical="center"/>
    </xf>
    <xf numFmtId="3" fontId="13" fillId="10" borderId="98" xfId="0" applyNumberFormat="1" applyFont="1" applyFill="1" applyBorder="1" applyAlignment="1" applyProtection="1">
      <alignment horizontal="center" wrapText="1"/>
    </xf>
    <xf numFmtId="0" fontId="0" fillId="0" borderId="0" xfId="0" applyAlignment="1" applyProtection="1">
      <alignment horizontal="center"/>
      <protection locked="0"/>
    </xf>
    <xf numFmtId="3" fontId="12" fillId="0" borderId="1" xfId="0" applyNumberFormat="1" applyFont="1" applyFill="1" applyBorder="1" applyAlignment="1" applyProtection="1">
      <alignment horizontal="left" vertical="center" wrapText="1"/>
      <protection locked="0"/>
    </xf>
    <xf numFmtId="0" fontId="23" fillId="3" borderId="0" xfId="0" applyFont="1" applyFill="1" applyBorder="1" applyProtection="1"/>
    <xf numFmtId="3" fontId="23" fillId="3" borderId="0" xfId="0" applyNumberFormat="1" applyFont="1" applyFill="1" applyAlignment="1" applyProtection="1">
      <alignment wrapText="1"/>
    </xf>
    <xf numFmtId="0" fontId="64" fillId="3" borderId="0" xfId="0" applyFont="1" applyFill="1" applyAlignment="1" applyProtection="1">
      <alignment horizontal="left"/>
    </xf>
    <xf numFmtId="3" fontId="0" fillId="3" borderId="0" xfId="0" applyNumberFormat="1" applyFill="1" applyAlignment="1" applyProtection="1">
      <alignment horizontal="center"/>
    </xf>
    <xf numFmtId="0" fontId="23" fillId="0" borderId="1" xfId="0" applyFont="1" applyFill="1" applyBorder="1" applyAlignment="1" applyProtection="1">
      <alignment horizontal="center"/>
    </xf>
    <xf numFmtId="0" fontId="23" fillId="10" borderId="13" xfId="0" applyFont="1" applyFill="1" applyBorder="1" applyAlignment="1" applyProtection="1"/>
    <xf numFmtId="166" fontId="23" fillId="0" borderId="1" xfId="0" applyNumberFormat="1" applyFont="1" applyFill="1" applyBorder="1" applyAlignment="1" applyProtection="1">
      <alignment horizontal="center"/>
      <protection locked="0"/>
    </xf>
    <xf numFmtId="3" fontId="23" fillId="3" borderId="0" xfId="0" applyNumberFormat="1" applyFont="1" applyFill="1" applyBorder="1" applyAlignment="1" applyProtection="1">
      <alignment horizontal="center" wrapText="1"/>
    </xf>
    <xf numFmtId="3" fontId="23" fillId="3" borderId="10" xfId="0" applyNumberFormat="1" applyFont="1" applyFill="1" applyBorder="1" applyAlignment="1" applyProtection="1">
      <alignment horizontal="center" wrapText="1"/>
    </xf>
    <xf numFmtId="0" fontId="64" fillId="4" borderId="103" xfId="0" applyFont="1" applyFill="1" applyBorder="1" applyAlignment="1" applyProtection="1">
      <alignment horizontal="left"/>
    </xf>
    <xf numFmtId="0" fontId="13" fillId="10" borderId="0" xfId="0" applyFont="1" applyFill="1" applyBorder="1" applyAlignment="1" applyProtection="1"/>
    <xf numFmtId="3" fontId="13" fillId="10" borderId="124" xfId="0" applyNumberFormat="1" applyFont="1" applyFill="1" applyBorder="1" applyAlignment="1" applyProtection="1">
      <alignment horizontal="center" wrapText="1"/>
    </xf>
    <xf numFmtId="3" fontId="13" fillId="10" borderId="109" xfId="0" applyNumberFormat="1" applyFont="1" applyFill="1" applyBorder="1" applyAlignment="1" applyProtection="1">
      <alignment horizontal="center" wrapText="1"/>
    </xf>
    <xf numFmtId="3" fontId="13" fillId="10" borderId="10" xfId="0" applyNumberFormat="1" applyFont="1" applyFill="1" applyBorder="1" applyAlignment="1" applyProtection="1">
      <alignment horizontal="center" wrapText="1"/>
    </xf>
    <xf numFmtId="3" fontId="13" fillId="10" borderId="108" xfId="0" applyNumberFormat="1" applyFont="1" applyFill="1" applyBorder="1" applyAlignment="1" applyProtection="1">
      <alignment horizontal="center" wrapText="1"/>
    </xf>
    <xf numFmtId="3" fontId="13" fillId="10" borderId="125" xfId="0" applyNumberFormat="1" applyFont="1" applyFill="1" applyBorder="1" applyAlignment="1" applyProtection="1">
      <alignment horizontal="center" wrapText="1"/>
    </xf>
    <xf numFmtId="3" fontId="13" fillId="10" borderId="69" xfId="0" applyNumberFormat="1" applyFont="1" applyFill="1" applyBorder="1" applyAlignment="1" applyProtection="1">
      <alignment horizontal="center" wrapText="1"/>
    </xf>
    <xf numFmtId="0" fontId="0" fillId="0" borderId="126" xfId="0" applyBorder="1" applyAlignment="1" applyProtection="1">
      <alignment horizontal="center"/>
    </xf>
    <xf numFmtId="4" fontId="2" fillId="0" borderId="127" xfId="1" applyNumberFormat="1" applyFont="1" applyBorder="1" applyAlignment="1" applyProtection="1">
      <alignment horizontal="center" vertical="center"/>
      <protection locked="0"/>
    </xf>
    <xf numFmtId="4" fontId="2" fillId="0" borderId="128" xfId="1" applyNumberFormat="1" applyFont="1" applyBorder="1" applyAlignment="1" applyProtection="1">
      <alignment horizontal="center" vertical="center"/>
      <protection locked="0"/>
    </xf>
    <xf numFmtId="2" fontId="2" fillId="0" borderId="129" xfId="1" applyNumberFormat="1" applyFont="1" applyBorder="1" applyAlignment="1" applyProtection="1">
      <alignment horizontal="left" wrapText="1"/>
      <protection locked="0"/>
    </xf>
    <xf numFmtId="4" fontId="2" fillId="0" borderId="130" xfId="0" applyNumberFormat="1" applyFont="1" applyFill="1" applyBorder="1" applyAlignment="1" applyProtection="1">
      <alignment horizontal="center" vertical="center" wrapText="1"/>
      <protection locked="0"/>
    </xf>
    <xf numFmtId="4" fontId="2" fillId="0" borderId="131" xfId="0" applyNumberFormat="1" applyFont="1" applyFill="1" applyBorder="1" applyAlignment="1" applyProtection="1">
      <alignment horizontal="center" vertical="center" wrapText="1"/>
      <protection locked="0"/>
    </xf>
    <xf numFmtId="2" fontId="2" fillId="0" borderId="132" xfId="1" applyNumberFormat="1" applyFont="1" applyBorder="1" applyAlignment="1" applyProtection="1">
      <alignment horizontal="left" wrapText="1"/>
      <protection locked="0"/>
    </xf>
    <xf numFmtId="0" fontId="0" fillId="0" borderId="110" xfId="0" applyBorder="1" applyAlignment="1" applyProtection="1">
      <alignment horizontal="center"/>
    </xf>
    <xf numFmtId="4" fontId="2" fillId="0" borderId="106" xfId="1" applyNumberFormat="1" applyFont="1" applyBorder="1" applyAlignment="1" applyProtection="1">
      <alignment horizontal="center" vertical="center"/>
      <protection locked="0"/>
    </xf>
    <xf numFmtId="2" fontId="2" fillId="0" borderId="84" xfId="1" applyNumberFormat="1" applyFont="1" applyBorder="1" applyAlignment="1" applyProtection="1">
      <alignment horizontal="left" wrapText="1"/>
      <protection locked="0"/>
    </xf>
    <xf numFmtId="4" fontId="2" fillId="0" borderId="133" xfId="0" applyNumberFormat="1" applyFont="1" applyFill="1" applyBorder="1" applyAlignment="1" applyProtection="1">
      <alignment horizontal="center" vertical="center" wrapText="1"/>
      <protection locked="0"/>
    </xf>
    <xf numFmtId="4" fontId="2" fillId="0" borderId="106" xfId="0" applyNumberFormat="1" applyFont="1" applyFill="1" applyBorder="1" applyAlignment="1" applyProtection="1">
      <alignment horizontal="center" vertical="center" wrapText="1"/>
      <protection locked="0"/>
    </xf>
    <xf numFmtId="2" fontId="2" fillId="0" borderId="134" xfId="1" applyNumberFormat="1" applyFont="1" applyBorder="1" applyAlignment="1" applyProtection="1">
      <alignment horizontal="left" wrapText="1"/>
      <protection locked="0"/>
    </xf>
    <xf numFmtId="0" fontId="0" fillId="0" borderId="110" xfId="0" quotePrefix="1" applyBorder="1" applyAlignment="1" applyProtection="1">
      <alignment horizontal="center"/>
    </xf>
    <xf numFmtId="0" fontId="0" fillId="0" borderId="107" xfId="0" quotePrefix="1" applyBorder="1" applyAlignment="1" applyProtection="1">
      <alignment horizontal="center"/>
    </xf>
    <xf numFmtId="4" fontId="2" fillId="0" borderId="135" xfId="0" applyNumberFormat="1" applyFont="1" applyFill="1" applyBorder="1" applyAlignment="1" applyProtection="1">
      <alignment horizontal="center" vertical="center" wrapText="1"/>
      <protection locked="0"/>
    </xf>
    <xf numFmtId="4" fontId="2" fillId="0" borderId="112" xfId="1" applyNumberFormat="1" applyFont="1" applyBorder="1" applyAlignment="1" applyProtection="1">
      <alignment horizontal="center" vertical="center"/>
      <protection locked="0"/>
    </xf>
    <xf numFmtId="2" fontId="2" fillId="0" borderId="136" xfId="1" applyNumberFormat="1" applyFont="1" applyBorder="1" applyAlignment="1" applyProtection="1">
      <alignment horizontal="left" wrapText="1"/>
      <protection locked="0"/>
    </xf>
    <xf numFmtId="2" fontId="2" fillId="0" borderId="137" xfId="1" applyNumberFormat="1" applyFont="1" applyBorder="1" applyAlignment="1" applyProtection="1">
      <alignment horizontal="left" wrapText="1"/>
      <protection locked="0"/>
    </xf>
    <xf numFmtId="0" fontId="0" fillId="0" borderId="107" xfId="0" applyBorder="1" applyAlignment="1" applyProtection="1">
      <alignment horizontal="center"/>
    </xf>
    <xf numFmtId="4" fontId="2" fillId="0" borderId="112" xfId="0" applyNumberFormat="1" applyFont="1" applyBorder="1" applyAlignment="1" applyProtection="1">
      <alignment horizontal="center" vertical="center" wrapText="1"/>
      <protection locked="0"/>
    </xf>
    <xf numFmtId="2" fontId="2" fillId="0" borderId="138" xfId="0" applyNumberFormat="1" applyFont="1" applyBorder="1" applyAlignment="1" applyProtection="1">
      <alignment horizontal="left" wrapText="1"/>
      <protection locked="0"/>
    </xf>
    <xf numFmtId="4" fontId="2" fillId="0" borderId="139" xfId="0" applyNumberFormat="1" applyFont="1" applyFill="1" applyBorder="1" applyAlignment="1" applyProtection="1">
      <alignment horizontal="center" vertical="center" wrapText="1"/>
      <protection locked="0"/>
    </xf>
    <xf numFmtId="4" fontId="2" fillId="0" borderId="140" xfId="0" applyNumberFormat="1" applyFont="1" applyFill="1" applyBorder="1" applyAlignment="1" applyProtection="1">
      <alignment horizontal="center" vertical="center" wrapText="1"/>
      <protection locked="0"/>
    </xf>
    <xf numFmtId="2" fontId="2" fillId="0" borderId="141" xfId="0" applyNumberFormat="1" applyFont="1" applyBorder="1" applyAlignment="1" applyProtection="1">
      <alignment horizontal="left" wrapText="1"/>
      <protection locked="0"/>
    </xf>
    <xf numFmtId="4" fontId="23" fillId="11" borderId="98" xfId="0" applyNumberFormat="1" applyFont="1" applyFill="1" applyBorder="1" applyAlignment="1" applyProtection="1">
      <alignment horizontal="center" vertical="center" wrapText="1"/>
    </xf>
    <xf numFmtId="4" fontId="23" fillId="11" borderId="69" xfId="0" applyNumberFormat="1" applyFont="1" applyFill="1" applyBorder="1" applyAlignment="1" applyProtection="1">
      <alignment horizontal="center" vertical="center" wrapText="1"/>
    </xf>
    <xf numFmtId="0" fontId="2" fillId="11" borderId="10" xfId="0" applyNumberFormat="1" applyFont="1" applyFill="1" applyBorder="1" applyAlignment="1" applyProtection="1">
      <alignment horizontal="left" vertical="center" wrapText="1" indent="1"/>
    </xf>
    <xf numFmtId="0" fontId="2" fillId="11" borderId="77" xfId="0" applyNumberFormat="1" applyFont="1" applyFill="1" applyBorder="1" applyAlignment="1" applyProtection="1">
      <alignment horizontal="left" vertical="center" wrapText="1" indent="1"/>
    </xf>
    <xf numFmtId="0" fontId="0" fillId="3" borderId="0" xfId="0" applyFill="1" applyAlignment="1" applyProtection="1">
      <alignment wrapText="1"/>
    </xf>
    <xf numFmtId="0" fontId="0" fillId="3" borderId="0" xfId="0" applyFill="1" applyBorder="1" applyAlignment="1" applyProtection="1">
      <alignment horizontal="center" wrapText="1"/>
    </xf>
    <xf numFmtId="0" fontId="23" fillId="3" borderId="0" xfId="0" applyFont="1" applyFill="1" applyAlignment="1" applyProtection="1">
      <alignment horizontal="left" wrapText="1"/>
    </xf>
    <xf numFmtId="0" fontId="0" fillId="3" borderId="0" xfId="0" applyFill="1" applyAlignment="1" applyProtection="1">
      <alignment horizontal="center" wrapText="1"/>
    </xf>
    <xf numFmtId="0" fontId="0" fillId="4" borderId="103" xfId="0" applyFill="1" applyBorder="1" applyAlignment="1" applyProtection="1">
      <alignment horizontal="left"/>
    </xf>
    <xf numFmtId="0" fontId="13" fillId="10" borderId="124" xfId="0" applyFont="1" applyFill="1" applyBorder="1" applyAlignment="1" applyProtection="1">
      <alignment horizontal="center"/>
    </xf>
    <xf numFmtId="0" fontId="13" fillId="10" borderId="108" xfId="0" applyFont="1" applyFill="1" applyBorder="1" applyAlignment="1" applyProtection="1">
      <alignment horizontal="center"/>
    </xf>
    <xf numFmtId="0" fontId="13" fillId="10" borderId="117" xfId="0" applyFont="1" applyFill="1" applyBorder="1" applyAlignment="1" applyProtection="1">
      <alignment horizontal="center" wrapText="1"/>
    </xf>
    <xf numFmtId="3" fontId="13" fillId="10" borderId="142" xfId="0" applyNumberFormat="1" applyFont="1" applyFill="1" applyBorder="1" applyAlignment="1" applyProtection="1">
      <alignment horizontal="center" wrapText="1"/>
    </xf>
    <xf numFmtId="0" fontId="0" fillId="0" borderId="126" xfId="0" applyBorder="1" applyAlignment="1" applyProtection="1">
      <alignment horizontal="center"/>
      <protection locked="0"/>
    </xf>
    <xf numFmtId="2" fontId="2" fillId="0" borderId="143" xfId="1" applyNumberFormat="1" applyFont="1" applyBorder="1" applyAlignment="1" applyProtection="1">
      <alignment horizontal="left" wrapText="1"/>
      <protection locked="0"/>
    </xf>
    <xf numFmtId="0" fontId="0" fillId="0" borderId="110" xfId="0" quotePrefix="1" applyBorder="1" applyAlignment="1" applyProtection="1">
      <alignment horizontal="center"/>
      <protection locked="0"/>
    </xf>
    <xf numFmtId="2" fontId="2" fillId="0" borderId="84" xfId="0" applyNumberFormat="1" applyFont="1" applyBorder="1" applyAlignment="1" applyProtection="1">
      <alignment horizontal="left" wrapText="1"/>
      <protection locked="0"/>
    </xf>
    <xf numFmtId="2" fontId="2" fillId="0" borderId="143" xfId="0" applyNumberFormat="1" applyFont="1" applyBorder="1" applyAlignment="1" applyProtection="1">
      <alignment horizontal="left" wrapText="1"/>
      <protection locked="0"/>
    </xf>
    <xf numFmtId="2" fontId="2" fillId="0" borderId="136" xfId="0" applyNumberFormat="1" applyFont="1" applyBorder="1" applyAlignment="1" applyProtection="1">
      <alignment horizontal="left" wrapText="1"/>
      <protection locked="0"/>
    </xf>
    <xf numFmtId="2" fontId="2" fillId="0" borderId="144" xfId="0" applyNumberFormat="1" applyFont="1" applyBorder="1" applyAlignment="1" applyProtection="1">
      <alignment horizontal="left" wrapText="1"/>
      <protection locked="0"/>
    </xf>
    <xf numFmtId="0" fontId="2" fillId="11" borderId="98" xfId="0" applyNumberFormat="1" applyFont="1" applyFill="1" applyBorder="1" applyAlignment="1" applyProtection="1">
      <alignment horizontal="left" vertical="center" wrapText="1" indent="1"/>
    </xf>
    <xf numFmtId="0" fontId="2" fillId="11" borderId="69" xfId="0" applyNumberFormat="1" applyFont="1" applyFill="1" applyBorder="1" applyAlignment="1" applyProtection="1">
      <alignment horizontal="left" vertical="center" wrapText="1" indent="1"/>
    </xf>
    <xf numFmtId="0" fontId="65" fillId="4" borderId="7" xfId="0" applyFont="1" applyFill="1" applyBorder="1" applyAlignment="1" applyProtection="1">
      <alignment horizontal="left"/>
    </xf>
    <xf numFmtId="0" fontId="0" fillId="4" borderId="10" xfId="0" applyFill="1" applyBorder="1" applyAlignment="1" applyProtection="1">
      <alignment horizontal="center"/>
    </xf>
    <xf numFmtId="0" fontId="0" fillId="4" borderId="10" xfId="0" applyFill="1" applyBorder="1" applyProtection="1"/>
    <xf numFmtId="4" fontId="2" fillId="0" borderId="145" xfId="0" applyNumberFormat="1" applyFont="1" applyFill="1" applyBorder="1" applyAlignment="1" applyProtection="1">
      <alignment horizontal="center" vertical="center" wrapText="1"/>
      <protection locked="0"/>
    </xf>
    <xf numFmtId="0" fontId="0" fillId="3" borderId="0" xfId="0" applyFill="1" applyAlignment="1" applyProtection="1">
      <alignment horizontal="center" vertical="center"/>
      <protection locked="0"/>
    </xf>
    <xf numFmtId="0" fontId="12" fillId="3" borderId="0" xfId="0" applyFont="1" applyFill="1" applyProtection="1">
      <protection locked="0"/>
    </xf>
    <xf numFmtId="0" fontId="0" fillId="3" borderId="0" xfId="0" applyFill="1" applyAlignment="1" applyProtection="1">
      <alignment wrapText="1"/>
      <protection locked="0"/>
    </xf>
    <xf numFmtId="0" fontId="0" fillId="3" borderId="0" xfId="0" applyFill="1" applyAlignment="1" applyProtection="1">
      <protection locked="0"/>
    </xf>
    <xf numFmtId="0" fontId="65" fillId="3" borderId="54" xfId="0" applyFont="1" applyFill="1" applyBorder="1" applyAlignment="1" applyProtection="1">
      <alignment horizontal="left"/>
    </xf>
    <xf numFmtId="0" fontId="0" fillId="3" borderId="54" xfId="0" applyFill="1" applyBorder="1" applyAlignment="1" applyProtection="1">
      <alignment horizontal="center"/>
    </xf>
    <xf numFmtId="0" fontId="0" fillId="3" borderId="54" xfId="0" applyFill="1" applyBorder="1" applyProtection="1"/>
    <xf numFmtId="0" fontId="13" fillId="3" borderId="54" xfId="0" applyFont="1" applyFill="1" applyBorder="1" applyAlignment="1" applyProtection="1">
      <alignment horizontal="center"/>
    </xf>
    <xf numFmtId="0" fontId="0" fillId="3" borderId="0" xfId="0" applyFill="1" applyBorder="1" applyAlignment="1" applyProtection="1"/>
    <xf numFmtId="0" fontId="0" fillId="3" borderId="0" xfId="0" applyFill="1" applyBorder="1" applyAlignment="1" applyProtection="1">
      <alignment wrapText="1"/>
    </xf>
    <xf numFmtId="0" fontId="0" fillId="3" borderId="0" xfId="0" applyFill="1" applyBorder="1" applyAlignment="1">
      <alignment wrapText="1"/>
    </xf>
    <xf numFmtId="0" fontId="76" fillId="3" borderId="0" xfId="0" applyFont="1" applyFill="1" applyProtection="1"/>
    <xf numFmtId="0" fontId="67" fillId="3" borderId="0" xfId="0" applyFont="1" applyFill="1" applyProtection="1">
      <protection locked="0"/>
    </xf>
    <xf numFmtId="0" fontId="0" fillId="3" borderId="0" xfId="0" applyFill="1" applyAlignment="1" applyProtection="1">
      <alignment horizontal="center"/>
      <protection locked="0"/>
    </xf>
    <xf numFmtId="3" fontId="0" fillId="3" borderId="0" xfId="0" applyNumberFormat="1" applyFill="1" applyAlignment="1" applyProtection="1">
      <alignment horizontal="center"/>
      <protection locked="0"/>
    </xf>
    <xf numFmtId="166" fontId="23" fillId="3" borderId="0" xfId="0" applyNumberFormat="1" applyFont="1" applyFill="1" applyBorder="1" applyAlignment="1" applyProtection="1">
      <alignment horizontal="center"/>
    </xf>
    <xf numFmtId="0" fontId="77" fillId="0" borderId="0" xfId="0" applyFont="1" applyAlignment="1">
      <alignment vertical="center"/>
    </xf>
    <xf numFmtId="4" fontId="2" fillId="0" borderId="146" xfId="0" applyNumberFormat="1" applyFont="1" applyFill="1" applyBorder="1" applyAlignment="1" applyProtection="1">
      <alignment horizontal="center" vertical="center" wrapText="1"/>
      <protection locked="0"/>
    </xf>
    <xf numFmtId="49" fontId="2" fillId="3" borderId="11" xfId="11" applyNumberFormat="1" applyFont="1" applyFill="1" applyBorder="1" applyAlignment="1" applyProtection="1">
      <alignment wrapText="1"/>
      <protection locked="0"/>
    </xf>
    <xf numFmtId="49" fontId="2" fillId="3" borderId="0" xfId="11" applyNumberFormat="1" applyFont="1" applyFill="1" applyBorder="1" applyAlignment="1" applyProtection="1">
      <alignment wrapText="1"/>
      <protection locked="0"/>
    </xf>
    <xf numFmtId="0" fontId="21" fillId="3" borderId="0" xfId="13" applyFont="1" applyFill="1" applyAlignment="1" applyProtection="1">
      <alignment horizontal="left" wrapText="1"/>
    </xf>
    <xf numFmtId="0" fontId="11" fillId="2" borderId="0" xfId="13" applyFont="1" applyFill="1" applyBorder="1" applyAlignment="1" applyProtection="1">
      <alignment horizontal="left" vertical="center"/>
    </xf>
    <xf numFmtId="0" fontId="11" fillId="2" borderId="0" xfId="13" applyFont="1" applyFill="1" applyBorder="1" applyAlignment="1" applyProtection="1">
      <alignment horizontal="center"/>
    </xf>
    <xf numFmtId="0" fontId="52" fillId="3" borderId="0" xfId="13" applyFont="1" applyFill="1" applyAlignment="1" applyProtection="1">
      <alignment horizontal="left" wrapText="1"/>
    </xf>
    <xf numFmtId="0" fontId="9" fillId="3" borderId="98" xfId="13" applyFont="1" applyFill="1" applyBorder="1" applyProtection="1"/>
    <xf numFmtId="0" fontId="9" fillId="3" borderId="123" xfId="13" applyFont="1" applyFill="1" applyBorder="1" applyProtection="1"/>
    <xf numFmtId="0" fontId="13" fillId="5" borderId="14" xfId="0" applyFont="1" applyFill="1" applyBorder="1" applyAlignment="1" applyProtection="1">
      <alignment horizontal="center" vertical="center" wrapText="1"/>
    </xf>
    <xf numFmtId="0" fontId="52" fillId="3" borderId="0" xfId="13" applyFont="1" applyFill="1" applyAlignment="1" applyProtection="1">
      <alignment wrapText="1"/>
    </xf>
    <xf numFmtId="0" fontId="0" fillId="3" borderId="0" xfId="0" applyNumberFormat="1" applyFill="1"/>
    <xf numFmtId="0" fontId="2" fillId="3" borderId="32" xfId="0" applyFont="1" applyFill="1" applyBorder="1" applyProtection="1"/>
    <xf numFmtId="0" fontId="2" fillId="3" borderId="38" xfId="0" applyFont="1" applyFill="1" applyBorder="1" applyProtection="1"/>
    <xf numFmtId="0" fontId="2" fillId="3" borderId="32" xfId="0" applyFont="1" applyFill="1" applyBorder="1" applyAlignment="1" applyProtection="1"/>
    <xf numFmtId="0" fontId="2" fillId="0" borderId="33" xfId="0" applyFont="1" applyBorder="1" applyAlignment="1" applyProtection="1"/>
    <xf numFmtId="0" fontId="2" fillId="0" borderId="51" xfId="0" applyFont="1" applyBorder="1" applyAlignment="1" applyProtection="1"/>
    <xf numFmtId="0" fontId="2" fillId="3" borderId="47" xfId="0" applyFont="1" applyFill="1" applyBorder="1" applyAlignment="1" applyProtection="1"/>
    <xf numFmtId="0" fontId="36" fillId="0" borderId="0" xfId="0" applyFont="1" applyBorder="1" applyProtection="1"/>
    <xf numFmtId="0" fontId="36" fillId="3" borderId="0" xfId="0" applyFont="1" applyFill="1" applyBorder="1" applyProtection="1"/>
    <xf numFmtId="0" fontId="0" fillId="0" borderId="99" xfId="0" applyBorder="1" applyAlignment="1" applyProtection="1"/>
    <xf numFmtId="0" fontId="8" fillId="3" borderId="0" xfId="0" applyFont="1" applyFill="1" applyBorder="1" applyProtection="1"/>
    <xf numFmtId="0" fontId="8" fillId="4" borderId="0" xfId="0" applyFont="1" applyFill="1" applyBorder="1" applyProtection="1"/>
    <xf numFmtId="0" fontId="8" fillId="3" borderId="0" xfId="0" applyFont="1" applyFill="1" applyBorder="1" applyAlignment="1" applyProtection="1">
      <alignment wrapText="1"/>
    </xf>
    <xf numFmtId="165" fontId="2" fillId="3" borderId="0" xfId="1" applyNumberFormat="1" applyFill="1" applyBorder="1" applyProtection="1">
      <protection locked="0"/>
    </xf>
    <xf numFmtId="3" fontId="15" fillId="6" borderId="90" xfId="0" applyNumberFormat="1" applyFont="1" applyFill="1" applyBorder="1" applyAlignment="1" applyProtection="1">
      <alignment horizontal="left" vertical="center"/>
    </xf>
    <xf numFmtId="167" fontId="15" fillId="0" borderId="41" xfId="0" applyNumberFormat="1" applyFont="1" applyFill="1" applyBorder="1" applyAlignment="1" applyProtection="1">
      <alignment horizontal="right" vertical="center"/>
    </xf>
    <xf numFmtId="167" fontId="15" fillId="3" borderId="99" xfId="0" applyNumberFormat="1" applyFont="1" applyFill="1" applyBorder="1" applyAlignment="1" applyProtection="1">
      <alignment horizontal="right" vertical="center"/>
    </xf>
    <xf numFmtId="167" fontId="15" fillId="3" borderId="99" xfId="0" applyNumberFormat="1" applyFont="1" applyFill="1" applyBorder="1" applyAlignment="1" applyProtection="1">
      <alignment horizontal="center" vertical="center"/>
    </xf>
    <xf numFmtId="0" fontId="21" fillId="3" borderId="0" xfId="0" applyFont="1" applyFill="1" applyBorder="1" applyAlignment="1" applyProtection="1">
      <alignment horizontal="left" wrapText="1"/>
    </xf>
    <xf numFmtId="165" fontId="2" fillId="0" borderId="0" xfId="1" applyNumberFormat="1" applyBorder="1" applyProtection="1"/>
    <xf numFmtId="167" fontId="15" fillId="0" borderId="0" xfId="0" applyNumberFormat="1" applyFont="1" applyFill="1" applyBorder="1" applyAlignment="1" applyProtection="1">
      <alignment horizontal="right" vertical="center"/>
    </xf>
    <xf numFmtId="0" fontId="23" fillId="0" borderId="0" xfId="0" applyFont="1" applyBorder="1" applyAlignment="1" applyProtection="1"/>
    <xf numFmtId="165" fontId="12" fillId="3" borderId="0" xfId="1" applyNumberFormat="1" applyFont="1" applyFill="1" applyBorder="1" applyProtection="1"/>
    <xf numFmtId="0" fontId="0" fillId="0" borderId="41" xfId="0" applyFill="1" applyBorder="1" applyAlignment="1" applyProtection="1">
      <alignment horizontal="center" vertical="center" wrapText="1"/>
    </xf>
    <xf numFmtId="0" fontId="23" fillId="0" borderId="47" xfId="0" applyFont="1" applyFill="1" applyBorder="1" applyAlignment="1" applyProtection="1"/>
    <xf numFmtId="0" fontId="0" fillId="0" borderId="99" xfId="0" applyFill="1" applyBorder="1" applyAlignment="1" applyProtection="1">
      <alignment vertical="center"/>
    </xf>
    <xf numFmtId="165" fontId="2" fillId="3" borderId="47" xfId="1" applyNumberFormat="1" applyFill="1" applyBorder="1" applyAlignment="1" applyProtection="1">
      <alignment horizontal="center"/>
    </xf>
    <xf numFmtId="0" fontId="38" fillId="3" borderId="0" xfId="0" applyFont="1" applyFill="1" applyBorder="1" applyAlignment="1" applyProtection="1">
      <alignment vertical="center" wrapText="1"/>
    </xf>
    <xf numFmtId="165" fontId="2" fillId="3" borderId="0" xfId="1" applyNumberFormat="1" applyFill="1" applyBorder="1" applyAlignment="1" applyProtection="1">
      <alignment horizontal="center"/>
    </xf>
    <xf numFmtId="0" fontId="43" fillId="3" borderId="0" xfId="0" applyFont="1" applyFill="1" applyBorder="1" applyProtection="1"/>
    <xf numFmtId="0" fontId="0" fillId="3" borderId="0" xfId="0" applyFill="1" applyBorder="1" applyAlignment="1" applyProtection="1">
      <alignment horizontal="center"/>
    </xf>
    <xf numFmtId="167" fontId="13" fillId="3" borderId="0" xfId="0" applyNumberFormat="1" applyFont="1" applyFill="1" applyBorder="1" applyAlignment="1" applyProtection="1">
      <alignment horizontal="right"/>
    </xf>
    <xf numFmtId="4" fontId="15" fillId="0" borderId="32" xfId="0" applyNumberFormat="1" applyFont="1" applyFill="1" applyBorder="1" applyAlignment="1" applyProtection="1">
      <alignment horizontal="right" vertical="center"/>
    </xf>
    <xf numFmtId="3" fontId="15" fillId="0" borderId="38" xfId="0" applyNumberFormat="1" applyFont="1" applyFill="1" applyBorder="1" applyAlignment="1" applyProtection="1"/>
    <xf numFmtId="3" fontId="15" fillId="3" borderId="38" xfId="0" applyNumberFormat="1" applyFont="1" applyFill="1" applyBorder="1" applyAlignment="1" applyProtection="1"/>
    <xf numFmtId="0" fontId="15" fillId="0" borderId="32" xfId="0" applyFont="1" applyBorder="1" applyAlignment="1" applyProtection="1"/>
    <xf numFmtId="0" fontId="15" fillId="3" borderId="32" xfId="0" applyFont="1" applyFill="1" applyBorder="1" applyAlignment="1" applyProtection="1"/>
    <xf numFmtId="0" fontId="8" fillId="0" borderId="32" xfId="0" applyFont="1" applyBorder="1" applyAlignment="1" applyProtection="1"/>
    <xf numFmtId="0" fontId="8" fillId="3" borderId="32" xfId="0" applyFont="1" applyFill="1" applyBorder="1" applyAlignment="1" applyProtection="1"/>
    <xf numFmtId="0" fontId="15" fillId="0" borderId="33" xfId="0" applyFont="1" applyFill="1" applyBorder="1" applyAlignment="1" applyProtection="1">
      <alignment vertical="center"/>
    </xf>
    <xf numFmtId="0" fontId="8" fillId="0" borderId="35" xfId="0" applyFont="1" applyFill="1" applyBorder="1" applyAlignment="1" applyProtection="1"/>
    <xf numFmtId="0" fontId="8" fillId="0" borderId="51" xfId="0" applyFont="1" applyBorder="1" applyAlignment="1" applyProtection="1"/>
    <xf numFmtId="0" fontId="8" fillId="0" borderId="47" xfId="0" applyFont="1" applyBorder="1" applyAlignment="1" applyProtection="1"/>
    <xf numFmtId="0" fontId="13" fillId="0" borderId="1" xfId="0" applyFont="1" applyFill="1" applyBorder="1" applyAlignment="1" applyProtection="1">
      <alignment horizontal="center" vertical="center"/>
      <protection locked="0"/>
    </xf>
    <xf numFmtId="0" fontId="12" fillId="3" borderId="1" xfId="0" applyNumberFormat="1" applyFont="1" applyFill="1" applyBorder="1" applyAlignment="1" applyProtection="1">
      <alignment horizontal="center" vertical="center" wrapText="1"/>
      <protection locked="0"/>
    </xf>
    <xf numFmtId="0" fontId="12" fillId="0" borderId="13" xfId="0" applyFont="1" applyFill="1" applyBorder="1" applyAlignment="1" applyProtection="1">
      <alignment horizontal="left" vertical="center" wrapText="1" indent="1"/>
      <protection locked="0"/>
    </xf>
    <xf numFmtId="0" fontId="12" fillId="0" borderId="13" xfId="0" applyFont="1" applyFill="1" applyBorder="1" applyAlignment="1" applyProtection="1">
      <alignment horizontal="center" vertical="center" wrapText="1"/>
      <protection locked="0"/>
    </xf>
    <xf numFmtId="0" fontId="0" fillId="0" borderId="0" xfId="0" applyFill="1" applyAlignment="1" applyProtection="1">
      <alignment horizontal="center"/>
    </xf>
    <xf numFmtId="0" fontId="21" fillId="3" borderId="0" xfId="0" applyFont="1" applyFill="1" applyBorder="1" applyAlignment="1" applyProtection="1">
      <alignment wrapText="1"/>
    </xf>
    <xf numFmtId="0" fontId="0" fillId="3" borderId="0" xfId="0" applyFill="1" applyBorder="1" applyAlignment="1" applyProtection="1">
      <alignment vertical="top"/>
    </xf>
    <xf numFmtId="169" fontId="12" fillId="3" borderId="75" xfId="0" applyNumberFormat="1" applyFont="1" applyFill="1" applyBorder="1" applyAlignment="1" applyProtection="1">
      <alignment horizontal="right" vertical="center"/>
      <protection locked="0"/>
    </xf>
    <xf numFmtId="166" fontId="12" fillId="3" borderId="1" xfId="0" applyNumberFormat="1" applyFont="1" applyFill="1" applyBorder="1" applyAlignment="1" applyProtection="1">
      <alignment horizontal="left" vertical="center" indent="1"/>
      <protection locked="0"/>
    </xf>
    <xf numFmtId="166" fontId="12" fillId="3" borderId="4" xfId="0" applyNumberFormat="1" applyFont="1" applyFill="1" applyBorder="1" applyAlignment="1" applyProtection="1">
      <alignment horizontal="left" vertical="center" indent="1"/>
      <protection locked="0"/>
    </xf>
    <xf numFmtId="171" fontId="8" fillId="3" borderId="69"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172" fontId="12" fillId="0" borderId="1" xfId="19" applyNumberFormat="1" applyFont="1" applyFill="1" applyBorder="1" applyAlignment="1" applyProtection="1">
      <alignment horizontal="center" vertical="center" wrapText="1"/>
      <protection locked="0"/>
    </xf>
    <xf numFmtId="166" fontId="12" fillId="0" borderId="16" xfId="0" applyNumberFormat="1" applyFont="1" applyFill="1" applyBorder="1" applyAlignment="1" applyProtection="1">
      <alignment horizontal="left" vertical="center" indent="1"/>
      <protection locked="0"/>
    </xf>
    <xf numFmtId="0" fontId="13" fillId="5" borderId="90" xfId="0" applyFont="1" applyFill="1" applyBorder="1" applyAlignment="1" applyProtection="1">
      <alignment horizontal="center" vertical="center" wrapText="1"/>
    </xf>
    <xf numFmtId="0" fontId="12" fillId="0" borderId="23" xfId="0" applyFont="1" applyFill="1" applyBorder="1" applyAlignment="1" applyProtection="1">
      <alignment horizontal="left" vertical="center" wrapText="1" indent="1"/>
      <protection locked="0"/>
    </xf>
    <xf numFmtId="0" fontId="12" fillId="0" borderId="27" xfId="0" applyFont="1" applyFill="1" applyBorder="1" applyAlignment="1" applyProtection="1">
      <alignment horizontal="left" vertical="center" wrapText="1" indent="1"/>
      <protection locked="0"/>
    </xf>
    <xf numFmtId="3" fontId="12" fillId="3" borderId="1" xfId="0" applyNumberFormat="1" applyFont="1" applyFill="1" applyBorder="1" applyAlignment="1" applyProtection="1">
      <alignment horizontal="center" vertical="center" wrapText="1"/>
      <protection locked="0"/>
    </xf>
    <xf numFmtId="0" fontId="12" fillId="0" borderId="147" xfId="0" applyFont="1" applyFill="1" applyBorder="1" applyAlignment="1" applyProtection="1">
      <alignment horizontal="center" vertical="center" wrapText="1"/>
      <protection locked="0"/>
    </xf>
    <xf numFmtId="0" fontId="10" fillId="4" borderId="91" xfId="0" applyFont="1" applyFill="1" applyBorder="1" applyAlignment="1" applyProtection="1">
      <alignment vertical="center"/>
    </xf>
    <xf numFmtId="172" fontId="12" fillId="14" borderId="28" xfId="0" applyNumberFormat="1" applyFont="1" applyFill="1" applyBorder="1" applyAlignment="1" applyProtection="1">
      <alignment horizontal="center" vertical="center" wrapText="1"/>
    </xf>
    <xf numFmtId="0" fontId="13" fillId="5" borderId="85" xfId="0" applyFont="1" applyFill="1" applyBorder="1" applyAlignment="1" applyProtection="1">
      <alignment horizontal="center" vertical="center"/>
    </xf>
    <xf numFmtId="0" fontId="12" fillId="0" borderId="28" xfId="0" applyFont="1" applyFill="1" applyBorder="1" applyAlignment="1" applyProtection="1">
      <alignment horizontal="center" vertical="center" wrapText="1"/>
      <protection locked="0"/>
    </xf>
    <xf numFmtId="0" fontId="12" fillId="0" borderId="148" xfId="0" applyFont="1" applyFill="1" applyBorder="1" applyAlignment="1" applyProtection="1">
      <alignment horizontal="left" vertical="center" wrapText="1" indent="1"/>
      <protection locked="0"/>
    </xf>
    <xf numFmtId="0" fontId="13" fillId="5" borderId="15" xfId="0" applyFont="1" applyFill="1" applyBorder="1" applyAlignment="1" applyProtection="1">
      <alignment horizontal="center" vertical="center" wrapText="1"/>
    </xf>
    <xf numFmtId="0" fontId="12" fillId="4" borderId="12" xfId="0" applyNumberFormat="1" applyFont="1" applyFill="1" applyBorder="1" applyAlignment="1" applyProtection="1">
      <alignment horizontal="center" vertical="center" wrapText="1"/>
    </xf>
    <xf numFmtId="0" fontId="12" fillId="4" borderId="4" xfId="0" applyNumberFormat="1" applyFont="1" applyFill="1" applyBorder="1" applyAlignment="1" applyProtection="1">
      <alignment horizontal="center" vertical="center" wrapText="1"/>
    </xf>
    <xf numFmtId="3" fontId="15" fillId="6" borderId="12" xfId="0" applyNumberFormat="1" applyFont="1" applyFill="1" applyBorder="1" applyAlignment="1" applyProtection="1">
      <alignment horizontal="left" vertical="center"/>
    </xf>
    <xf numFmtId="3" fontId="12" fillId="3" borderId="149" xfId="0" applyNumberFormat="1" applyFont="1" applyFill="1" applyBorder="1" applyAlignment="1" applyProtection="1">
      <alignment horizontal="center" vertical="center" wrapText="1"/>
      <protection locked="0"/>
    </xf>
    <xf numFmtId="3" fontId="12" fillId="3" borderId="96" xfId="0" applyNumberFormat="1" applyFont="1" applyFill="1" applyBorder="1" applyAlignment="1" applyProtection="1">
      <alignment horizontal="center" vertical="center" wrapText="1"/>
      <protection locked="0"/>
    </xf>
    <xf numFmtId="0" fontId="12" fillId="3" borderId="11" xfId="0" applyFont="1" applyFill="1" applyBorder="1" applyAlignment="1" applyProtection="1">
      <alignment horizontal="left" vertical="center"/>
    </xf>
    <xf numFmtId="0" fontId="15" fillId="3" borderId="117" xfId="0" applyFont="1" applyFill="1" applyBorder="1" applyAlignment="1" applyProtection="1">
      <alignment horizontal="left" vertical="center" indent="1"/>
    </xf>
    <xf numFmtId="3" fontId="13" fillId="6" borderId="12" xfId="0" applyNumberFormat="1" applyFont="1" applyFill="1" applyBorder="1" applyAlignment="1" applyProtection="1">
      <alignment horizontal="center" vertical="center" wrapText="1"/>
    </xf>
    <xf numFmtId="3" fontId="12" fillId="3" borderId="4" xfId="0" applyNumberFormat="1" applyFont="1" applyFill="1" applyBorder="1" applyAlignment="1" applyProtection="1">
      <alignment horizontal="center" vertical="center" wrapText="1"/>
      <protection locked="0"/>
    </xf>
    <xf numFmtId="3" fontId="15" fillId="3" borderId="1" xfId="0" applyNumberFormat="1" applyFont="1" applyFill="1" applyBorder="1" applyAlignment="1" applyProtection="1">
      <alignment horizontal="center" vertical="center"/>
      <protection locked="0"/>
    </xf>
    <xf numFmtId="3" fontId="15" fillId="4" borderId="92" xfId="0" applyNumberFormat="1" applyFont="1" applyFill="1" applyBorder="1" applyAlignment="1" applyProtection="1">
      <alignment horizontal="center" vertical="center"/>
    </xf>
    <xf numFmtId="3" fontId="15" fillId="3" borderId="93" xfId="0" applyNumberFormat="1" applyFont="1" applyFill="1" applyBorder="1" applyAlignment="1" applyProtection="1">
      <alignment horizontal="center" vertical="center"/>
      <protection locked="0"/>
    </xf>
    <xf numFmtId="3" fontId="15" fillId="3" borderId="94" xfId="0" applyNumberFormat="1" applyFont="1" applyFill="1" applyBorder="1" applyAlignment="1" applyProtection="1">
      <alignment horizontal="center" vertical="center"/>
      <protection locked="0"/>
    </xf>
    <xf numFmtId="3" fontId="15" fillId="4" borderId="150" xfId="0" applyNumberFormat="1" applyFont="1" applyFill="1" applyBorder="1" applyAlignment="1" applyProtection="1">
      <alignment horizontal="center" vertical="center"/>
    </xf>
    <xf numFmtId="0" fontId="12" fillId="0" borderId="96" xfId="0" applyFont="1" applyFill="1" applyBorder="1" applyAlignment="1" applyProtection="1">
      <alignment horizontal="left" vertical="center" wrapText="1"/>
      <protection locked="0"/>
    </xf>
    <xf numFmtId="0" fontId="12" fillId="3" borderId="1" xfId="13" applyNumberFormat="1" applyFont="1" applyFill="1" applyBorder="1" applyAlignment="1" applyProtection="1">
      <alignment horizontal="left" vertical="center" wrapText="1"/>
      <protection locked="0"/>
    </xf>
    <xf numFmtId="0" fontId="12" fillId="3" borderId="16" xfId="13" applyNumberFormat="1" applyFont="1" applyFill="1" applyBorder="1" applyAlignment="1" applyProtection="1">
      <alignment horizontal="left" vertical="center" wrapText="1"/>
      <protection locked="0"/>
    </xf>
    <xf numFmtId="0" fontId="2" fillId="3" borderId="0" xfId="13" applyNumberFormat="1" applyFill="1" applyProtection="1"/>
    <xf numFmtId="0" fontId="12" fillId="3" borderId="0" xfId="13" applyNumberFormat="1" applyFont="1" applyFill="1" applyBorder="1" applyAlignment="1" applyProtection="1">
      <alignment horizontal="left" vertical="center" wrapText="1"/>
      <protection locked="0"/>
    </xf>
    <xf numFmtId="0" fontId="12" fillId="0" borderId="0" xfId="13" applyNumberFormat="1" applyFont="1" applyProtection="1"/>
    <xf numFmtId="0" fontId="11" fillId="2" borderId="0" xfId="13" applyNumberFormat="1" applyFont="1" applyFill="1" applyBorder="1" applyAlignment="1" applyProtection="1">
      <alignment horizontal="center"/>
    </xf>
    <xf numFmtId="0" fontId="12" fillId="3" borderId="0" xfId="13" applyNumberFormat="1" applyFont="1" applyFill="1" applyProtection="1"/>
    <xf numFmtId="0" fontId="12" fillId="3" borderId="0" xfId="13" applyNumberFormat="1" applyFont="1" applyFill="1" applyBorder="1" applyAlignment="1" applyProtection="1">
      <alignment horizontal="left"/>
    </xf>
    <xf numFmtId="0" fontId="12" fillId="3" borderId="0" xfId="13" applyNumberFormat="1" applyFont="1" applyFill="1" applyBorder="1" applyAlignment="1" applyProtection="1"/>
    <xf numFmtId="164" fontId="12" fillId="3" borderId="1" xfId="1" applyFont="1" applyFill="1" applyBorder="1" applyAlignment="1" applyProtection="1">
      <alignment horizontal="right" vertical="center" wrapText="1"/>
      <protection locked="0"/>
    </xf>
    <xf numFmtId="174" fontId="12" fillId="3" borderId="1" xfId="1" applyNumberFormat="1" applyFont="1" applyFill="1" applyBorder="1" applyAlignment="1" applyProtection="1">
      <alignment horizontal="right" vertical="center" wrapText="1"/>
      <protection locked="0"/>
    </xf>
    <xf numFmtId="174" fontId="12" fillId="3" borderId="1" xfId="1" applyNumberFormat="1" applyFont="1" applyFill="1" applyBorder="1" applyAlignment="1" applyProtection="1">
      <alignment vertical="center" wrapText="1"/>
      <protection locked="0"/>
    </xf>
    <xf numFmtId="173" fontId="12" fillId="3" borderId="1" xfId="1" applyNumberFormat="1" applyFont="1" applyFill="1" applyBorder="1" applyAlignment="1" applyProtection="1">
      <alignment vertical="center" wrapText="1"/>
      <protection locked="0"/>
    </xf>
    <xf numFmtId="175" fontId="12" fillId="3" borderId="1" xfId="13" applyNumberFormat="1" applyFont="1" applyFill="1" applyBorder="1" applyAlignment="1" applyProtection="1">
      <alignment horizontal="left" vertical="center" wrapText="1"/>
      <protection locked="0"/>
    </xf>
    <xf numFmtId="176" fontId="12" fillId="3" borderId="1" xfId="13" applyNumberFormat="1" applyFont="1" applyFill="1" applyBorder="1" applyAlignment="1" applyProtection="1">
      <alignment horizontal="left" vertical="center" wrapText="1"/>
      <protection locked="0"/>
    </xf>
    <xf numFmtId="4" fontId="12" fillId="3" borderId="1" xfId="13" applyNumberFormat="1" applyFont="1" applyFill="1" applyBorder="1" applyAlignment="1" applyProtection="1">
      <alignment horizontal="right" vertical="center" wrapText="1"/>
      <protection locked="0"/>
    </xf>
    <xf numFmtId="175" fontId="12" fillId="3" borderId="1" xfId="13" applyNumberFormat="1" applyFont="1" applyFill="1" applyBorder="1" applyAlignment="1" applyProtection="1">
      <alignment horizontal="right" vertical="center" wrapText="1"/>
      <protection locked="0"/>
    </xf>
    <xf numFmtId="0" fontId="2" fillId="3" borderId="48" xfId="0" applyFont="1" applyFill="1" applyBorder="1" applyProtection="1"/>
    <xf numFmtId="177" fontId="12" fillId="0" borderId="75" xfId="19" applyNumberFormat="1" applyFont="1" applyFill="1" applyBorder="1" applyAlignment="1" applyProtection="1">
      <alignment horizontal="center" vertical="center" wrapText="1"/>
      <protection locked="0"/>
    </xf>
    <xf numFmtId="43" fontId="12" fillId="3" borderId="28" xfId="0" applyNumberFormat="1" applyFont="1" applyFill="1" applyBorder="1" applyAlignment="1" applyProtection="1">
      <alignment horizontal="center" vertical="center" wrapText="1"/>
      <protection locked="0"/>
    </xf>
    <xf numFmtId="43" fontId="12" fillId="3" borderId="1" xfId="0" applyNumberFormat="1" applyFont="1" applyFill="1" applyBorder="1" applyAlignment="1" applyProtection="1">
      <alignment horizontal="center" vertical="center" wrapText="1"/>
      <protection locked="0"/>
    </xf>
    <xf numFmtId="43" fontId="12" fillId="14" borderId="1" xfId="0" applyNumberFormat="1" applyFont="1" applyFill="1" applyBorder="1" applyAlignment="1" applyProtection="1">
      <alignment horizontal="center" vertical="center" wrapText="1"/>
    </xf>
    <xf numFmtId="43" fontId="12" fillId="4" borderId="1" xfId="0" applyNumberFormat="1" applyFont="1" applyFill="1" applyBorder="1" applyAlignment="1" applyProtection="1">
      <alignment horizontal="center" vertical="center" wrapText="1"/>
    </xf>
    <xf numFmtId="43" fontId="12" fillId="0" borderId="13" xfId="0" applyNumberFormat="1" applyFont="1" applyFill="1" applyBorder="1" applyAlignment="1" applyProtection="1">
      <alignment horizontal="center" vertical="center" wrapText="1"/>
      <protection locked="0"/>
    </xf>
    <xf numFmtId="43" fontId="12" fillId="0" borderId="1" xfId="0" applyNumberFormat="1" applyFont="1" applyFill="1" applyBorder="1" applyAlignment="1" applyProtection="1">
      <alignment horizontal="center" vertical="center"/>
      <protection locked="0"/>
    </xf>
    <xf numFmtId="9" fontId="12" fillId="0" borderId="13" xfId="19" applyFont="1" applyFill="1" applyBorder="1" applyAlignment="1" applyProtection="1">
      <alignment horizontal="center" vertical="center"/>
      <protection locked="0"/>
    </xf>
    <xf numFmtId="9" fontId="12" fillId="0" borderId="23" xfId="19" applyFont="1" applyFill="1" applyBorder="1" applyAlignment="1" applyProtection="1">
      <alignment horizontal="center" vertical="center"/>
      <protection locked="0"/>
    </xf>
    <xf numFmtId="9" fontId="12" fillId="3" borderId="120" xfId="19" applyFont="1" applyFill="1" applyBorder="1" applyAlignment="1" applyProtection="1">
      <alignment horizontal="center" vertical="center" wrapText="1"/>
      <protection locked="0"/>
    </xf>
    <xf numFmtId="9" fontId="12" fillId="3" borderId="1" xfId="19" applyFont="1" applyFill="1" applyBorder="1" applyAlignment="1" applyProtection="1">
      <alignment horizontal="center" vertical="center" wrapText="1"/>
      <protection locked="0"/>
    </xf>
    <xf numFmtId="43" fontId="12" fillId="15" borderId="1" xfId="0" applyNumberFormat="1" applyFont="1" applyFill="1" applyBorder="1" applyAlignment="1" applyProtection="1">
      <alignment horizontal="left" vertical="center"/>
    </xf>
    <xf numFmtId="43" fontId="12" fillId="9" borderId="75" xfId="0" applyNumberFormat="1" applyFont="1" applyFill="1" applyBorder="1" applyProtection="1">
      <protection locked="0"/>
    </xf>
    <xf numFmtId="43" fontId="12" fillId="9" borderId="1" xfId="0" applyNumberFormat="1" applyFont="1" applyFill="1" applyBorder="1" applyProtection="1">
      <protection locked="0"/>
    </xf>
    <xf numFmtId="0" fontId="2" fillId="3" borderId="0" xfId="0" applyFont="1" applyFill="1" applyAlignment="1" applyProtection="1">
      <alignment vertical="center"/>
      <protection locked="0"/>
    </xf>
    <xf numFmtId="0" fontId="12" fillId="3" borderId="0" xfId="0" applyFont="1" applyFill="1" applyBorder="1" applyAlignment="1" applyProtection="1">
      <alignment horizontal="left" wrapText="1" indent="1"/>
      <protection locked="0"/>
    </xf>
    <xf numFmtId="43" fontId="12" fillId="0" borderId="1" xfId="19" applyNumberFormat="1" applyFont="1" applyFill="1" applyBorder="1" applyAlignment="1" applyProtection="1">
      <alignment horizontal="center" vertical="center" wrapText="1"/>
      <protection locked="0"/>
    </xf>
    <xf numFmtId="43" fontId="12" fillId="0" borderId="6" xfId="0" applyNumberFormat="1" applyFont="1" applyFill="1" applyBorder="1" applyAlignment="1" applyProtection="1">
      <alignment horizontal="center" vertical="center"/>
      <protection locked="0"/>
    </xf>
    <xf numFmtId="0" fontId="12" fillId="0" borderId="70"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left" vertical="center" wrapText="1" indent="1"/>
      <protection locked="0"/>
    </xf>
    <xf numFmtId="0" fontId="13" fillId="4" borderId="100" xfId="0" applyFont="1" applyFill="1" applyBorder="1" applyAlignment="1" applyProtection="1">
      <alignment horizontal="left" vertical="center" wrapText="1"/>
      <protection locked="0"/>
    </xf>
    <xf numFmtId="0" fontId="12" fillId="4" borderId="27" xfId="0" applyFont="1" applyFill="1" applyBorder="1" applyAlignment="1" applyProtection="1">
      <alignment horizontal="left" vertical="center" wrapText="1"/>
      <protection locked="0"/>
    </xf>
    <xf numFmtId="0" fontId="12" fillId="4" borderId="25" xfId="0" applyFont="1" applyFill="1" applyBorder="1" applyAlignment="1" applyProtection="1">
      <alignment horizontal="left" vertical="center" wrapText="1"/>
      <protection locked="0"/>
    </xf>
    <xf numFmtId="0" fontId="13" fillId="4" borderId="23"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0" fontId="13" fillId="4" borderId="148" xfId="0" applyFont="1" applyFill="1" applyBorder="1" applyAlignment="1" applyProtection="1">
      <alignment horizontal="left" vertical="center" wrapText="1"/>
      <protection locked="0"/>
    </xf>
    <xf numFmtId="0" fontId="0" fillId="4" borderId="0" xfId="0" applyFill="1" applyProtection="1"/>
    <xf numFmtId="49" fontId="12" fillId="0" borderId="1" xfId="19" applyNumberFormat="1" applyFont="1" applyFill="1" applyBorder="1" applyAlignment="1" applyProtection="1">
      <alignment horizontal="center" vertical="center" wrapText="1"/>
      <protection locked="0"/>
    </xf>
    <xf numFmtId="49" fontId="12" fillId="0" borderId="13"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protection locked="0"/>
    </xf>
    <xf numFmtId="49" fontId="12" fillId="3" borderId="28"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xf>
    <xf numFmtId="0" fontId="12" fillId="0" borderId="0" xfId="0" applyFont="1" applyFill="1" applyBorder="1" applyAlignment="1" applyProtection="1">
      <alignment horizontal="left"/>
    </xf>
    <xf numFmtId="0" fontId="9" fillId="3" borderId="0" xfId="0" applyFont="1" applyFill="1" applyBorder="1" applyAlignment="1" applyProtection="1">
      <alignment horizontal="left"/>
    </xf>
    <xf numFmtId="0" fontId="4" fillId="3" borderId="0" xfId="0" applyFont="1" applyFill="1" applyBorder="1" applyAlignment="1" applyProtection="1">
      <alignment horizontal="left" indent="2"/>
    </xf>
    <xf numFmtId="0" fontId="7" fillId="3" borderId="0" xfId="0" applyFont="1" applyFill="1" applyBorder="1" applyAlignment="1" applyProtection="1">
      <alignment horizontal="left"/>
    </xf>
    <xf numFmtId="0" fontId="12" fillId="16" borderId="1" xfId="0" applyFont="1" applyFill="1" applyBorder="1" applyAlignment="1" applyProtection="1">
      <alignment horizontal="left"/>
    </xf>
    <xf numFmtId="0" fontId="12" fillId="17" borderId="1" xfId="0" applyFont="1" applyFill="1" applyBorder="1" applyAlignment="1" applyProtection="1">
      <alignment horizontal="left"/>
    </xf>
    <xf numFmtId="0" fontId="12" fillId="7" borderId="1" xfId="0" applyFont="1" applyFill="1" applyBorder="1" applyAlignment="1" applyProtection="1">
      <alignment horizontal="left"/>
    </xf>
    <xf numFmtId="0" fontId="12" fillId="18" borderId="1" xfId="0" applyFont="1" applyFill="1" applyBorder="1" applyAlignment="1" applyProtection="1">
      <alignment horizontal="left"/>
    </xf>
    <xf numFmtId="0" fontId="12" fillId="19" borderId="1" xfId="0" applyFont="1" applyFill="1" applyBorder="1" applyAlignment="1" applyProtection="1">
      <alignment horizontal="left"/>
    </xf>
    <xf numFmtId="0" fontId="4" fillId="3" borderId="54" xfId="0" applyFont="1" applyFill="1" applyBorder="1" applyAlignment="1" applyProtection="1">
      <alignment horizontal="left"/>
    </xf>
    <xf numFmtId="0" fontId="18" fillId="3" borderId="0" xfId="0" applyFont="1" applyFill="1" applyBorder="1" applyAlignment="1" applyProtection="1">
      <alignment horizontal="center" wrapText="1"/>
    </xf>
    <xf numFmtId="0" fontId="4" fillId="3" borderId="13" xfId="0" applyFont="1" applyFill="1" applyBorder="1" applyAlignment="1" applyProtection="1">
      <alignment horizontal="left" indent="2"/>
    </xf>
    <xf numFmtId="0" fontId="4" fillId="3" borderId="6" xfId="0" applyFont="1" applyFill="1" applyBorder="1" applyAlignment="1" applyProtection="1">
      <alignment horizontal="left" indent="2"/>
    </xf>
    <xf numFmtId="166" fontId="12" fillId="3" borderId="0" xfId="0" applyNumberFormat="1" applyFont="1" applyFill="1" applyBorder="1" applyAlignment="1" applyProtection="1">
      <alignment horizontal="left"/>
    </xf>
    <xf numFmtId="3" fontId="12" fillId="3" borderId="0" xfId="0" applyNumberFormat="1" applyFont="1" applyFill="1" applyBorder="1" applyAlignment="1" applyProtection="1">
      <alignment horizontal="right"/>
      <protection locked="0"/>
    </xf>
    <xf numFmtId="3" fontId="12" fillId="3" borderId="0" xfId="0" applyNumberFormat="1" applyFont="1" applyFill="1" applyBorder="1" applyAlignment="1" applyProtection="1">
      <alignment horizontal="right"/>
    </xf>
    <xf numFmtId="3" fontId="12" fillId="3" borderId="0" xfId="0" applyNumberFormat="1" applyFont="1" applyFill="1" applyBorder="1" applyAlignment="1" applyProtection="1">
      <alignment horizontal="left"/>
    </xf>
    <xf numFmtId="3" fontId="13" fillId="3" borderId="0" xfId="0" applyNumberFormat="1" applyFont="1" applyFill="1" applyBorder="1" applyAlignment="1" applyProtection="1">
      <alignment horizontal="right"/>
    </xf>
    <xf numFmtId="0" fontId="85" fillId="3" borderId="0" xfId="0" applyFont="1" applyFill="1" applyBorder="1" applyAlignment="1" applyProtection="1">
      <alignment horizontal="left" indent="1"/>
    </xf>
    <xf numFmtId="166" fontId="12" fillId="14" borderId="55" xfId="0" applyNumberFormat="1" applyFont="1" applyFill="1" applyBorder="1" applyAlignment="1" applyProtection="1">
      <alignment horizontal="left"/>
    </xf>
    <xf numFmtId="3" fontId="15" fillId="3" borderId="0" xfId="0" applyNumberFormat="1" applyFont="1" applyFill="1" applyBorder="1" applyAlignment="1" applyProtection="1">
      <alignment horizontal="right"/>
      <protection locked="0"/>
    </xf>
    <xf numFmtId="0" fontId="12" fillId="3" borderId="0" xfId="0" applyFont="1" applyFill="1" applyBorder="1" applyAlignment="1" applyProtection="1">
      <alignment horizontal="center"/>
    </xf>
    <xf numFmtId="0" fontId="15" fillId="3" borderId="101" xfId="0" applyFont="1" applyFill="1" applyBorder="1" applyAlignment="1" applyProtection="1"/>
    <xf numFmtId="0" fontId="15" fillId="3" borderId="102" xfId="0" applyFont="1" applyFill="1" applyBorder="1" applyAlignment="1" applyProtection="1">
      <alignment horizontal="center"/>
    </xf>
    <xf numFmtId="0" fontId="15" fillId="3" borderId="55" xfId="0" applyFont="1" applyFill="1" applyBorder="1" applyAlignment="1" applyProtection="1"/>
    <xf numFmtId="0" fontId="86" fillId="3" borderId="32" xfId="0" applyFont="1" applyFill="1" applyBorder="1" applyAlignment="1" applyProtection="1"/>
    <xf numFmtId="0" fontId="86" fillId="3" borderId="0" xfId="0" applyFont="1" applyFill="1" applyBorder="1" applyAlignment="1" applyProtection="1"/>
    <xf numFmtId="3" fontId="13" fillId="4" borderId="1" xfId="0" applyNumberFormat="1" applyFont="1" applyFill="1" applyBorder="1" applyAlignment="1" applyProtection="1">
      <alignment horizontal="right"/>
    </xf>
    <xf numFmtId="3" fontId="12" fillId="14" borderId="54" xfId="0" applyNumberFormat="1" applyFont="1" applyFill="1" applyBorder="1" applyAlignment="1" applyProtection="1"/>
    <xf numFmtId="3" fontId="12" fillId="14" borderId="54" xfId="0" applyNumberFormat="1" applyFont="1" applyFill="1" applyBorder="1" applyAlignment="1" applyProtection="1">
      <alignment horizontal="right"/>
    </xf>
    <xf numFmtId="0" fontId="12" fillId="3" borderId="54" xfId="0" applyFont="1" applyFill="1" applyBorder="1" applyAlignment="1" applyProtection="1">
      <alignment horizontal="center"/>
      <protection locked="0"/>
    </xf>
    <xf numFmtId="3" fontId="23" fillId="0" borderId="1" xfId="0" applyNumberFormat="1" applyFont="1" applyBorder="1" applyAlignment="1" applyProtection="1">
      <alignment horizontal="center" vertical="center"/>
    </xf>
    <xf numFmtId="0" fontId="13" fillId="3" borderId="0" xfId="0" applyNumberFormat="1" applyFont="1" applyFill="1" applyBorder="1" applyAlignment="1" applyProtection="1">
      <protection locked="0"/>
    </xf>
    <xf numFmtId="0" fontId="18" fillId="3" borderId="0" xfId="0" applyFont="1" applyFill="1" applyBorder="1" applyAlignment="1" applyProtection="1">
      <alignment horizontal="center"/>
    </xf>
    <xf numFmtId="3" fontId="12" fillId="0" borderId="53" xfId="0" applyNumberFormat="1" applyFont="1" applyFill="1" applyBorder="1" applyAlignment="1" applyProtection="1">
      <alignment horizontal="center"/>
    </xf>
    <xf numFmtId="3" fontId="12" fillId="0" borderId="35" xfId="0" applyNumberFormat="1" applyFont="1" applyFill="1" applyBorder="1" applyAlignment="1" applyProtection="1">
      <alignment horizontal="right"/>
      <protection locked="0"/>
    </xf>
    <xf numFmtId="3" fontId="12" fillId="4" borderId="0" xfId="0" applyNumberFormat="1" applyFont="1" applyFill="1" applyBorder="1" applyAlignment="1" applyProtection="1">
      <alignment horizontal="right"/>
    </xf>
    <xf numFmtId="0" fontId="12" fillId="3" borderId="0" xfId="0" applyFont="1" applyFill="1" applyBorder="1" applyAlignment="1" applyProtection="1">
      <alignment horizontal="center"/>
      <protection locked="0"/>
    </xf>
    <xf numFmtId="0" fontId="12" fillId="3" borderId="0" xfId="0" applyFont="1" applyFill="1" applyBorder="1" applyAlignment="1" applyProtection="1">
      <alignment wrapText="1"/>
    </xf>
    <xf numFmtId="0" fontId="12" fillId="3" borderId="0" xfId="0" applyFont="1" applyFill="1" applyAlignment="1" applyProtection="1">
      <alignment vertical="center"/>
    </xf>
    <xf numFmtId="165" fontId="12" fillId="3" borderId="0" xfId="1" applyNumberFormat="1" applyFont="1" applyFill="1" applyAlignment="1" applyProtection="1">
      <alignment horizontal="left" vertical="center"/>
    </xf>
    <xf numFmtId="0" fontId="12" fillId="0" borderId="34" xfId="0" applyFont="1" applyFill="1" applyBorder="1" applyAlignment="1" applyProtection="1">
      <alignment horizontal="left" vertical="center" indent="1"/>
    </xf>
    <xf numFmtId="0" fontId="12" fillId="0" borderId="48" xfId="0" applyFont="1" applyFill="1" applyBorder="1" applyAlignment="1" applyProtection="1">
      <alignment horizontal="left" vertical="center" wrapText="1"/>
    </xf>
    <xf numFmtId="0" fontId="11" fillId="3" borderId="0" xfId="0" applyFont="1" applyFill="1" applyBorder="1" applyAlignment="1" applyProtection="1">
      <alignment horizontal="left"/>
    </xf>
    <xf numFmtId="0" fontId="87" fillId="3" borderId="0" xfId="0" applyFont="1" applyFill="1" applyBorder="1" applyAlignment="1" applyProtection="1"/>
    <xf numFmtId="0" fontId="18" fillId="3" borderId="1" xfId="0" applyFont="1" applyFill="1" applyBorder="1" applyAlignment="1" applyProtection="1">
      <alignment horizontal="center" wrapText="1"/>
      <protection locked="0"/>
    </xf>
    <xf numFmtId="0" fontId="12" fillId="3" borderId="0" xfId="0" applyFont="1" applyFill="1" applyBorder="1" applyAlignment="1" applyProtection="1">
      <alignment horizontal="center" wrapText="1"/>
    </xf>
    <xf numFmtId="0" fontId="13" fillId="3" borderId="0" xfId="0" applyFont="1" applyFill="1" applyBorder="1" applyAlignment="1" applyProtection="1">
      <alignment vertical="center"/>
    </xf>
    <xf numFmtId="0" fontId="13" fillId="3" borderId="0" xfId="0" applyFont="1" applyFill="1" applyBorder="1" applyProtection="1"/>
    <xf numFmtId="0" fontId="12" fillId="3" borderId="0" xfId="0" applyFont="1" applyFill="1" applyBorder="1" applyAlignment="1" applyProtection="1">
      <alignment horizontal="left"/>
    </xf>
    <xf numFmtId="0" fontId="6" fillId="0" borderId="32" xfId="0" applyFont="1" applyFill="1" applyBorder="1" applyAlignment="1" applyProtection="1">
      <alignment horizontal="left"/>
    </xf>
    <xf numFmtId="0" fontId="6" fillId="0" borderId="47" xfId="0" applyFont="1" applyFill="1" applyBorder="1" applyAlignment="1" applyProtection="1">
      <alignment horizontal="left"/>
    </xf>
    <xf numFmtId="0" fontId="0" fillId="3" borderId="41" xfId="0" applyFill="1" applyBorder="1" applyProtection="1"/>
    <xf numFmtId="0" fontId="12" fillId="3" borderId="99" xfId="0" applyFont="1" applyFill="1" applyBorder="1" applyAlignment="1" applyProtection="1">
      <alignment horizontal="left" vertical="center" wrapText="1" indent="1"/>
    </xf>
    <xf numFmtId="0" fontId="80" fillId="3" borderId="0" xfId="0" applyFont="1" applyFill="1" applyBorder="1" applyAlignment="1" applyProtection="1">
      <alignment horizontal="left"/>
    </xf>
    <xf numFmtId="0" fontId="28" fillId="3" borderId="0" xfId="0" applyFont="1" applyFill="1" applyBorder="1" applyAlignment="1" applyProtection="1">
      <alignment horizontal="left"/>
    </xf>
    <xf numFmtId="0" fontId="0" fillId="0" borderId="32" xfId="0" applyBorder="1" applyAlignment="1" applyProtection="1">
      <alignment vertical="center"/>
    </xf>
    <xf numFmtId="0" fontId="4" fillId="0" borderId="47" xfId="0" applyFont="1" applyBorder="1" applyProtection="1"/>
    <xf numFmtId="0" fontId="11" fillId="0" borderId="41" xfId="0" applyFont="1" applyFill="1" applyBorder="1" applyAlignment="1" applyProtection="1">
      <alignment horizontal="center"/>
    </xf>
    <xf numFmtId="3" fontId="13" fillId="0" borderId="151" xfId="0" applyNumberFormat="1" applyFont="1" applyFill="1" applyBorder="1" applyAlignment="1" applyProtection="1">
      <alignment horizontal="center"/>
      <protection locked="0"/>
    </xf>
    <xf numFmtId="3" fontId="13" fillId="0" borderId="32" xfId="0" applyNumberFormat="1" applyFont="1" applyFill="1" applyBorder="1" applyAlignment="1" applyProtection="1">
      <alignment vertical="top"/>
    </xf>
    <xf numFmtId="3" fontId="12" fillId="0" borderId="41" xfId="0" applyNumberFormat="1" applyFont="1" applyBorder="1" applyProtection="1"/>
    <xf numFmtId="0" fontId="12" fillId="0" borderId="47" xfId="0" applyFont="1" applyBorder="1" applyProtection="1"/>
    <xf numFmtId="0" fontId="13" fillId="0" borderId="33" xfId="0" applyFont="1" applyFill="1" applyBorder="1" applyAlignment="1" applyProtection="1">
      <alignment vertical="top"/>
    </xf>
    <xf numFmtId="0" fontId="13" fillId="0" borderId="45" xfId="0" applyFont="1" applyFill="1" applyBorder="1" applyAlignment="1" applyProtection="1">
      <alignment horizontal="center" vertical="top"/>
    </xf>
    <xf numFmtId="0" fontId="0" fillId="0" borderId="46" xfId="0" applyBorder="1" applyProtection="1"/>
    <xf numFmtId="0" fontId="0" fillId="0" borderId="68" xfId="0" applyBorder="1" applyProtection="1"/>
    <xf numFmtId="0" fontId="0" fillId="0" borderId="99" xfId="0" applyBorder="1" applyProtection="1"/>
    <xf numFmtId="0" fontId="17" fillId="3" borderId="46" xfId="0" applyFont="1" applyFill="1" applyBorder="1" applyAlignment="1" applyProtection="1">
      <alignment horizontal="left"/>
    </xf>
    <xf numFmtId="0" fontId="17" fillId="3" borderId="99" xfId="0" applyFont="1" applyFill="1" applyBorder="1" applyAlignment="1" applyProtection="1">
      <alignment horizontal="left"/>
    </xf>
    <xf numFmtId="0" fontId="4" fillId="3" borderId="33" xfId="0" applyFont="1" applyFill="1" applyBorder="1" applyProtection="1"/>
    <xf numFmtId="165" fontId="4" fillId="3" borderId="33" xfId="1" applyNumberFormat="1" applyFont="1" applyFill="1" applyBorder="1" applyProtection="1"/>
    <xf numFmtId="0" fontId="0" fillId="3" borderId="47" xfId="0" applyFill="1" applyBorder="1" applyAlignment="1" applyProtection="1">
      <alignment horizontal="center"/>
    </xf>
    <xf numFmtId="0" fontId="17" fillId="0" borderId="45" xfId="0" applyFont="1" applyFill="1" applyBorder="1" applyAlignment="1" applyProtection="1">
      <alignment horizontal="left"/>
    </xf>
    <xf numFmtId="0" fontId="17" fillId="0" borderId="41" xfId="0" applyFont="1" applyFill="1" applyBorder="1" applyAlignment="1" applyProtection="1">
      <alignment horizontal="center"/>
    </xf>
    <xf numFmtId="9" fontId="86" fillId="14" borderId="1" xfId="19" applyFont="1" applyFill="1" applyBorder="1" applyProtection="1"/>
    <xf numFmtId="1" fontId="2" fillId="14" borderId="1" xfId="19" applyNumberFormat="1" applyFont="1" applyFill="1" applyBorder="1" applyProtection="1"/>
    <xf numFmtId="0" fontId="18" fillId="3" borderId="1" xfId="0" applyFont="1" applyFill="1" applyBorder="1" applyAlignment="1" applyProtection="1">
      <alignment horizontal="center"/>
      <protection locked="0"/>
    </xf>
    <xf numFmtId="1" fontId="12" fillId="3" borderId="1" xfId="0" applyNumberFormat="1" applyFont="1" applyFill="1" applyBorder="1" applyAlignment="1" applyProtection="1">
      <alignment horizontal="center"/>
      <protection locked="0"/>
    </xf>
    <xf numFmtId="0" fontId="28" fillId="14" borderId="0" xfId="0" applyFont="1" applyFill="1" applyBorder="1" applyAlignment="1" applyProtection="1">
      <alignment horizontal="left"/>
    </xf>
    <xf numFmtId="0" fontId="46" fillId="3" borderId="0" xfId="0" applyFont="1" applyFill="1" applyBorder="1" applyAlignment="1" applyProtection="1">
      <alignment horizontal="left"/>
    </xf>
    <xf numFmtId="0" fontId="2" fillId="3" borderId="0" xfId="0" applyFont="1" applyFill="1" applyBorder="1" applyAlignment="1" applyProtection="1">
      <alignment horizontal="left"/>
    </xf>
    <xf numFmtId="0" fontId="2" fillId="3" borderId="0" xfId="0" applyFont="1" applyFill="1" applyBorder="1" applyAlignment="1" applyProtection="1">
      <alignment horizontal="left" wrapText="1"/>
    </xf>
    <xf numFmtId="0" fontId="18" fillId="3" borderId="0" xfId="0" applyFont="1" applyFill="1" applyBorder="1" applyAlignment="1" applyProtection="1">
      <alignment horizontal="center" wrapText="1"/>
      <protection locked="0"/>
    </xf>
    <xf numFmtId="0" fontId="13" fillId="3" borderId="0" xfId="0" applyFont="1" applyFill="1" applyAlignment="1" applyProtection="1">
      <alignment horizontal="left" indent="1"/>
    </xf>
    <xf numFmtId="0" fontId="12" fillId="3" borderId="0" xfId="0" applyFont="1" applyFill="1" applyAlignment="1" applyProtection="1"/>
    <xf numFmtId="0" fontId="11" fillId="2" borderId="95" xfId="0" applyFont="1" applyFill="1" applyBorder="1" applyAlignment="1" applyProtection="1">
      <alignment vertical="center"/>
    </xf>
    <xf numFmtId="0" fontId="11" fillId="2" borderId="75" xfId="0" applyFont="1" applyFill="1" applyBorder="1" applyAlignment="1" applyProtection="1">
      <alignment vertical="center"/>
    </xf>
    <xf numFmtId="0" fontId="11" fillId="2" borderId="152" xfId="0" applyFont="1" applyFill="1" applyBorder="1" applyAlignment="1" applyProtection="1">
      <alignment vertical="center"/>
    </xf>
    <xf numFmtId="0" fontId="11" fillId="2" borderId="85" xfId="0" applyFont="1" applyFill="1" applyBorder="1" applyAlignment="1" applyProtection="1">
      <alignment vertical="center"/>
    </xf>
    <xf numFmtId="0" fontId="11" fillId="2" borderId="97" xfId="0" applyFont="1" applyFill="1" applyBorder="1" applyAlignment="1" applyProtection="1">
      <alignment vertical="center"/>
    </xf>
    <xf numFmtId="0" fontId="11" fillId="2" borderId="150" xfId="0" applyFont="1" applyFill="1" applyBorder="1" applyAlignment="1" applyProtection="1">
      <alignment vertical="center"/>
    </xf>
    <xf numFmtId="0" fontId="11" fillId="2" borderId="92" xfId="0" applyFont="1" applyFill="1" applyBorder="1" applyAlignment="1" applyProtection="1">
      <alignment vertical="center"/>
    </xf>
    <xf numFmtId="0" fontId="11" fillId="2" borderId="93" xfId="0" applyFont="1" applyFill="1" applyBorder="1" applyAlignment="1" applyProtection="1">
      <alignment vertical="center"/>
    </xf>
    <xf numFmtId="0" fontId="4" fillId="0" borderId="45" xfId="0" applyFont="1" applyBorder="1" applyProtection="1"/>
    <xf numFmtId="0" fontId="4" fillId="0" borderId="65" xfId="0" applyFont="1" applyBorder="1" applyProtection="1"/>
    <xf numFmtId="0" fontId="4" fillId="0" borderId="41" xfId="0" applyFont="1" applyBorder="1" applyProtection="1"/>
    <xf numFmtId="0" fontId="17" fillId="0" borderId="41" xfId="0" applyFont="1" applyFill="1" applyBorder="1" applyAlignment="1" applyProtection="1">
      <alignment horizontal="left"/>
    </xf>
    <xf numFmtId="0" fontId="52" fillId="3" borderId="0" xfId="0" applyFont="1" applyFill="1" applyBorder="1" applyAlignment="1" applyProtection="1">
      <alignment horizontal="left" wrapText="1"/>
    </xf>
    <xf numFmtId="0" fontId="51" fillId="3" borderId="0" xfId="0" applyFont="1" applyFill="1" applyBorder="1" applyAlignment="1" applyProtection="1">
      <alignment horizontal="left" wrapText="1"/>
    </xf>
    <xf numFmtId="0" fontId="15" fillId="3" borderId="31" xfId="0" applyFont="1" applyFill="1" applyBorder="1" applyAlignment="1" applyProtection="1">
      <alignment vertical="center"/>
    </xf>
    <xf numFmtId="0" fontId="15" fillId="3" borderId="34" xfId="0" applyFont="1" applyFill="1" applyBorder="1" applyAlignment="1" applyProtection="1">
      <alignment vertical="center"/>
    </xf>
    <xf numFmtId="165" fontId="4" fillId="3" borderId="32" xfId="1" applyNumberFormat="1" applyFont="1" applyFill="1" applyBorder="1" applyProtection="1"/>
    <xf numFmtId="165" fontId="4" fillId="3" borderId="34" xfId="1" applyNumberFormat="1" applyFont="1" applyFill="1" applyBorder="1" applyProtection="1"/>
    <xf numFmtId="0" fontId="0" fillId="3" borderId="34" xfId="0" applyFill="1" applyBorder="1" applyProtection="1"/>
    <xf numFmtId="0" fontId="4" fillId="3" borderId="0" xfId="0" applyFont="1" applyFill="1" applyBorder="1" applyAlignment="1" applyProtection="1">
      <alignment horizontal="center" vertical="center" wrapText="1"/>
    </xf>
    <xf numFmtId="0" fontId="9" fillId="0" borderId="0" xfId="0" applyFont="1" applyAlignment="1" applyProtection="1">
      <alignment horizontal="left" vertical="center"/>
    </xf>
    <xf numFmtId="3" fontId="64" fillId="3" borderId="0" xfId="0" applyNumberFormat="1" applyFont="1" applyFill="1" applyAlignment="1" applyProtection="1">
      <alignment horizontal="left"/>
    </xf>
    <xf numFmtId="0" fontId="65" fillId="14" borderId="98" xfId="0" applyFont="1" applyFill="1" applyBorder="1" applyAlignment="1" applyProtection="1">
      <alignment horizontal="left"/>
    </xf>
    <xf numFmtId="0" fontId="0" fillId="14" borderId="103" xfId="0" applyFill="1" applyBorder="1" applyAlignment="1" applyProtection="1">
      <alignment horizontal="center"/>
    </xf>
    <xf numFmtId="0" fontId="0" fillId="14" borderId="123" xfId="0" applyFill="1" applyBorder="1" applyProtection="1"/>
    <xf numFmtId="0" fontId="12" fillId="3" borderId="34" xfId="0" applyFont="1" applyFill="1" applyBorder="1" applyAlignment="1" applyProtection="1">
      <alignment vertical="center"/>
    </xf>
    <xf numFmtId="0" fontId="13" fillId="3" borderId="32" xfId="0" applyFont="1" applyFill="1" applyBorder="1" applyAlignment="1" applyProtection="1">
      <alignment horizontal="center" vertical="top"/>
    </xf>
    <xf numFmtId="0" fontId="13" fillId="3" borderId="48" xfId="0" applyFont="1" applyFill="1" applyBorder="1" applyAlignment="1" applyProtection="1">
      <alignment horizontal="center" vertical="top"/>
    </xf>
    <xf numFmtId="0" fontId="13" fillId="3" borderId="99" xfId="0" applyFont="1" applyFill="1" applyBorder="1" applyAlignment="1" applyProtection="1">
      <alignment vertical="top"/>
    </xf>
    <xf numFmtId="0" fontId="13" fillId="3" borderId="46" xfId="0" applyFont="1" applyFill="1" applyBorder="1" applyAlignment="1" applyProtection="1">
      <alignment vertical="top"/>
    </xf>
    <xf numFmtId="0" fontId="9" fillId="3" borderId="34" xfId="0" applyFont="1" applyFill="1" applyBorder="1" applyProtection="1"/>
    <xf numFmtId="0" fontId="0" fillId="3" borderId="48" xfId="0" applyFill="1" applyBorder="1" applyProtection="1"/>
    <xf numFmtId="0" fontId="12" fillId="3" borderId="32" xfId="0" applyFont="1" applyFill="1" applyBorder="1" applyProtection="1"/>
    <xf numFmtId="0" fontId="12" fillId="3" borderId="47" xfId="0" applyFont="1" applyFill="1" applyBorder="1" applyAlignment="1" applyProtection="1"/>
    <xf numFmtId="0" fontId="12" fillId="3" borderId="35" xfId="0" applyFont="1" applyFill="1" applyBorder="1" applyAlignment="1" applyProtection="1"/>
    <xf numFmtId="0" fontId="12" fillId="3" borderId="34" xfId="0" quotePrefix="1" applyFont="1" applyFill="1" applyBorder="1" applyAlignment="1" applyProtection="1"/>
    <xf numFmtId="0" fontId="13" fillId="3" borderId="33" xfId="0" applyFont="1" applyFill="1" applyBorder="1" applyAlignment="1" applyProtection="1"/>
    <xf numFmtId="0" fontId="2" fillId="3" borderId="34" xfId="0" applyFont="1" applyFill="1" applyBorder="1" applyAlignment="1" applyProtection="1"/>
    <xf numFmtId="0" fontId="12" fillId="3" borderId="48" xfId="0" applyFont="1" applyFill="1" applyBorder="1" applyAlignment="1" applyProtection="1"/>
    <xf numFmtId="0" fontId="26" fillId="3" borderId="0" xfId="13" applyFont="1" applyFill="1" applyBorder="1" applyAlignment="1" applyProtection="1">
      <alignment horizontal="left"/>
    </xf>
    <xf numFmtId="0" fontId="26" fillId="3" borderId="98" xfId="0" applyFont="1" applyFill="1" applyBorder="1" applyAlignment="1" applyProtection="1"/>
    <xf numFmtId="0" fontId="26" fillId="3" borderId="103" xfId="0" applyFont="1" applyFill="1" applyBorder="1" applyAlignment="1" applyProtection="1"/>
    <xf numFmtId="0" fontId="6" fillId="3" borderId="34" xfId="0" applyFont="1" applyFill="1" applyBorder="1" applyAlignment="1" applyProtection="1">
      <alignment horizontal="left"/>
    </xf>
    <xf numFmtId="0" fontId="17" fillId="3" borderId="34" xfId="0" applyFont="1" applyFill="1" applyBorder="1" applyAlignment="1" applyProtection="1">
      <alignment horizontal="left"/>
    </xf>
    <xf numFmtId="0" fontId="17" fillId="3" borderId="32" xfId="0" applyFont="1" applyFill="1" applyBorder="1" applyAlignment="1" applyProtection="1">
      <alignment horizontal="left"/>
    </xf>
    <xf numFmtId="0" fontId="13" fillId="5" borderId="122" xfId="0" applyFont="1" applyFill="1" applyBorder="1" applyAlignment="1" applyProtection="1">
      <alignment horizontal="center" vertical="center"/>
    </xf>
    <xf numFmtId="0" fontId="6" fillId="3" borderId="34" xfId="0" applyFont="1" applyFill="1" applyBorder="1" applyAlignment="1" applyProtection="1">
      <alignment vertical="center"/>
    </xf>
    <xf numFmtId="0" fontId="6" fillId="3" borderId="34" xfId="0" applyFont="1" applyFill="1" applyBorder="1" applyProtection="1"/>
    <xf numFmtId="0" fontId="4" fillId="3" borderId="32" xfId="0" applyFont="1" applyFill="1" applyBorder="1" applyProtection="1"/>
    <xf numFmtId="0" fontId="12" fillId="3" borderId="41" xfId="0" applyFont="1" applyFill="1" applyBorder="1" applyAlignment="1" applyProtection="1"/>
    <xf numFmtId="0" fontId="12" fillId="3" borderId="45" xfId="0" applyFont="1" applyFill="1" applyBorder="1" applyAlignment="1" applyProtection="1">
      <alignment horizontal="right"/>
    </xf>
    <xf numFmtId="0" fontId="12" fillId="3" borderId="47" xfId="0" applyFont="1" applyFill="1" applyBorder="1" applyAlignment="1" applyProtection="1">
      <alignment horizontal="right" wrapText="1"/>
    </xf>
    <xf numFmtId="3" fontId="23" fillId="3" borderId="1" xfId="0" applyNumberFormat="1" applyFont="1" applyFill="1" applyBorder="1" applyAlignment="1" applyProtection="1">
      <alignment horizontal="center" vertical="center"/>
    </xf>
    <xf numFmtId="0" fontId="23" fillId="5" borderId="1" xfId="0" applyFont="1" applyFill="1" applyBorder="1" applyAlignment="1" applyProtection="1">
      <alignment horizontal="center" vertical="center" wrapText="1"/>
    </xf>
    <xf numFmtId="0" fontId="12" fillId="3" borderId="48" xfId="0" applyFont="1" applyFill="1" applyBorder="1" applyAlignment="1" applyProtection="1">
      <alignment horizontal="left" vertical="center" wrapText="1"/>
    </xf>
    <xf numFmtId="0" fontId="12" fillId="3" borderId="0" xfId="0" quotePrefix="1" applyFont="1" applyFill="1" applyAlignment="1" applyProtection="1"/>
    <xf numFmtId="0" fontId="12" fillId="3" borderId="68" xfId="0" quotePrefix="1" applyFont="1" applyFill="1" applyBorder="1" applyAlignment="1" applyProtection="1"/>
    <xf numFmtId="0" fontId="2" fillId="3" borderId="41" xfId="0" quotePrefix="1" applyFont="1" applyFill="1" applyBorder="1" applyAlignment="1" applyProtection="1"/>
    <xf numFmtId="0" fontId="12" fillId="0" borderId="48" xfId="0" applyFont="1" applyFill="1" applyBorder="1" applyAlignment="1" applyProtection="1">
      <alignment horizontal="left" vertical="center"/>
    </xf>
    <xf numFmtId="0" fontId="13" fillId="3" borderId="93" xfId="13" applyFont="1" applyFill="1" applyBorder="1" applyAlignment="1" applyProtection="1">
      <alignment vertical="center"/>
    </xf>
    <xf numFmtId="0" fontId="13" fillId="3" borderId="94" xfId="13" applyFont="1" applyFill="1" applyBorder="1" applyAlignment="1" applyProtection="1">
      <alignment vertical="center"/>
    </xf>
    <xf numFmtId="0" fontId="12" fillId="0" borderId="47" xfId="0" applyFont="1" applyFill="1" applyBorder="1" applyAlignment="1" applyProtection="1">
      <alignment vertical="center"/>
    </xf>
    <xf numFmtId="0" fontId="12" fillId="0" borderId="153" xfId="0" applyFont="1" applyFill="1" applyBorder="1" applyAlignment="1" applyProtection="1"/>
    <xf numFmtId="0" fontId="12" fillId="0" borderId="47" xfId="0" applyFont="1" applyFill="1" applyBorder="1" applyAlignment="1" applyProtection="1"/>
    <xf numFmtId="0" fontId="12" fillId="0" borderId="0" xfId="0" quotePrefix="1" applyFont="1" applyFill="1" applyBorder="1" applyAlignment="1" applyProtection="1"/>
    <xf numFmtId="0" fontId="2" fillId="0" borderId="0" xfId="0" applyFont="1" applyBorder="1" applyAlignment="1" applyProtection="1"/>
    <xf numFmtId="0" fontId="12" fillId="0" borderId="93" xfId="0" applyFont="1" applyFill="1" applyBorder="1" applyAlignment="1" applyProtection="1">
      <alignment horizontal="center" vertical="center" wrapText="1"/>
      <protection locked="0"/>
    </xf>
    <xf numFmtId="170" fontId="12" fillId="4" borderId="85" xfId="0" applyNumberFormat="1" applyFont="1" applyFill="1" applyBorder="1" applyAlignment="1" applyProtection="1">
      <alignment horizontal="center" vertical="center" wrapText="1"/>
    </xf>
    <xf numFmtId="0" fontId="12" fillId="4" borderId="85" xfId="0" applyFont="1" applyFill="1" applyBorder="1" applyAlignment="1" applyProtection="1">
      <alignment horizontal="center" vertical="center" wrapText="1"/>
    </xf>
    <xf numFmtId="15" fontId="12" fillId="3" borderId="85" xfId="0" applyNumberFormat="1" applyFont="1" applyFill="1" applyBorder="1" applyAlignment="1" applyProtection="1">
      <alignment horizontal="center" vertical="center"/>
      <protection locked="0"/>
    </xf>
    <xf numFmtId="0" fontId="13" fillId="5" borderId="123" xfId="0" applyFont="1" applyFill="1" applyBorder="1" applyAlignment="1" applyProtection="1">
      <alignment horizontal="center" vertical="center" wrapText="1"/>
    </xf>
    <xf numFmtId="0" fontId="12" fillId="0" borderId="154" xfId="0" applyFont="1" applyFill="1" applyBorder="1" applyAlignment="1" applyProtection="1">
      <alignment horizontal="left" vertical="center"/>
      <protection locked="0"/>
    </xf>
    <xf numFmtId="0" fontId="12" fillId="0" borderId="70" xfId="0" applyFont="1" applyFill="1" applyBorder="1" applyAlignment="1" applyProtection="1">
      <alignment horizontal="left" vertical="center"/>
      <protection locked="0"/>
    </xf>
    <xf numFmtId="0" fontId="12" fillId="0" borderId="89" xfId="0" applyFont="1" applyFill="1" applyBorder="1" applyAlignment="1" applyProtection="1">
      <alignment horizontal="left" vertical="center"/>
      <protection locked="0"/>
    </xf>
    <xf numFmtId="3" fontId="12" fillId="4" borderId="150" xfId="0" applyNumberFormat="1" applyFont="1" applyFill="1" applyBorder="1" applyAlignment="1" applyProtection="1">
      <alignment horizontal="center" vertical="center"/>
    </xf>
    <xf numFmtId="0" fontId="15" fillId="0" borderId="0" xfId="0" applyFont="1" applyFill="1" applyBorder="1" applyAlignment="1" applyProtection="1"/>
    <xf numFmtId="0" fontId="15" fillId="3" borderId="54" xfId="0" applyFont="1" applyFill="1" applyBorder="1" applyAlignment="1" applyProtection="1"/>
    <xf numFmtId="0" fontId="15" fillId="0" borderId="68" xfId="0" applyFont="1" applyBorder="1" applyAlignment="1" applyProtection="1"/>
    <xf numFmtId="0" fontId="15" fillId="0" borderId="99" xfId="0" applyFont="1" applyBorder="1" applyAlignment="1" applyProtection="1"/>
    <xf numFmtId="171" fontId="8" fillId="3" borderId="69" xfId="0" applyNumberFormat="1"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xf>
    <xf numFmtId="3" fontId="12" fillId="3" borderId="85" xfId="0" applyNumberFormat="1" applyFont="1" applyFill="1" applyBorder="1" applyAlignment="1" applyProtection="1">
      <alignment horizontal="center" vertical="center" wrapText="1"/>
      <protection locked="0"/>
    </xf>
    <xf numFmtId="0" fontId="13" fillId="5" borderId="122" xfId="0" applyFont="1" applyFill="1" applyBorder="1" applyAlignment="1" applyProtection="1">
      <alignment horizontal="center" vertical="center" wrapText="1"/>
    </xf>
    <xf numFmtId="0" fontId="88" fillId="3" borderId="0" xfId="0" applyNumberFormat="1" applyFont="1" applyFill="1" applyAlignment="1" applyProtection="1">
      <alignment wrapText="1"/>
    </xf>
    <xf numFmtId="0" fontId="88" fillId="3" borderId="0" xfId="0" applyFont="1" applyFill="1" applyAlignment="1" applyProtection="1">
      <alignment wrapText="1"/>
    </xf>
    <xf numFmtId="0" fontId="88" fillId="3" borderId="0" xfId="0" applyFont="1" applyFill="1" applyAlignment="1" applyProtection="1">
      <alignment vertical="top" wrapText="1"/>
    </xf>
    <xf numFmtId="0" fontId="4" fillId="3" borderId="35" xfId="0" applyFont="1" applyFill="1" applyBorder="1" applyProtection="1"/>
    <xf numFmtId="0" fontId="4" fillId="3" borderId="51" xfId="0" applyFont="1" applyFill="1" applyBorder="1" applyProtection="1"/>
    <xf numFmtId="0" fontId="12" fillId="3" borderId="1" xfId="13" applyFont="1" applyFill="1" applyBorder="1" applyAlignment="1" applyProtection="1">
      <protection locked="0"/>
    </xf>
    <xf numFmtId="0" fontId="26" fillId="3" borderId="123" xfId="0" applyFont="1" applyFill="1" applyBorder="1" applyAlignment="1" applyProtection="1"/>
    <xf numFmtId="0" fontId="11" fillId="2" borderId="155" xfId="0" applyFont="1" applyFill="1" applyBorder="1" applyAlignment="1" applyProtection="1">
      <alignment vertical="center"/>
    </xf>
    <xf numFmtId="0" fontId="11" fillId="2" borderId="122" xfId="0" applyFont="1" applyFill="1" applyBorder="1" applyAlignment="1" applyProtection="1">
      <alignment vertical="center"/>
    </xf>
    <xf numFmtId="0" fontId="11" fillId="2" borderId="156" xfId="0" applyFont="1" applyFill="1" applyBorder="1" applyAlignment="1" applyProtection="1">
      <alignment vertical="center"/>
    </xf>
    <xf numFmtId="0" fontId="13" fillId="5" borderId="28" xfId="0" applyFont="1" applyFill="1" applyBorder="1" applyAlignment="1" applyProtection="1">
      <alignment horizontal="center" vertical="center"/>
    </xf>
    <xf numFmtId="0" fontId="13" fillId="8" borderId="6" xfId="0"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5" fillId="3" borderId="27" xfId="0" applyFont="1" applyFill="1" applyBorder="1" applyAlignment="1" applyProtection="1">
      <alignment vertical="center"/>
    </xf>
    <xf numFmtId="0" fontId="13" fillId="8" borderId="1" xfId="0" applyFont="1" applyFill="1" applyBorder="1" applyAlignment="1" applyProtection="1">
      <alignment horizontal="center" vertical="center" wrapText="1"/>
    </xf>
    <xf numFmtId="0" fontId="12" fillId="3" borderId="75" xfId="0" applyFont="1" applyFill="1" applyBorder="1" applyAlignment="1" applyProtection="1">
      <alignment vertical="center" wrapText="1"/>
      <protection locked="0"/>
    </xf>
    <xf numFmtId="0" fontId="12" fillId="4" borderId="94" xfId="0" applyFont="1" applyFill="1" applyBorder="1" applyAlignment="1" applyProtection="1">
      <alignment horizontal="center" vertical="center" wrapText="1"/>
    </xf>
    <xf numFmtId="49" fontId="12" fillId="3" borderId="85" xfId="0" applyNumberFormat="1" applyFont="1" applyFill="1" applyBorder="1" applyAlignment="1" applyProtection="1">
      <alignment horizontal="center" vertical="center" wrapText="1"/>
      <protection locked="0"/>
    </xf>
    <xf numFmtId="43" fontId="12" fillId="3" borderId="85" xfId="0" applyNumberFormat="1" applyFont="1" applyFill="1" applyBorder="1" applyAlignment="1" applyProtection="1">
      <alignment horizontal="center" vertical="center" wrapText="1"/>
      <protection locked="0"/>
    </xf>
    <xf numFmtId="172" fontId="12" fillId="14" borderId="85" xfId="0" applyNumberFormat="1" applyFont="1" applyFill="1" applyBorder="1" applyAlignment="1" applyProtection="1">
      <alignment horizontal="center" vertical="center" wrapText="1"/>
    </xf>
    <xf numFmtId="0" fontId="12" fillId="3" borderId="85" xfId="0" applyNumberFormat="1" applyFont="1" applyFill="1" applyBorder="1" applyAlignment="1" applyProtection="1">
      <alignment horizontal="center" vertical="center" wrapText="1"/>
      <protection locked="0"/>
    </xf>
    <xf numFmtId="0" fontId="13" fillId="3" borderId="155" xfId="0" applyFont="1" applyFill="1" applyBorder="1" applyAlignment="1" applyProtection="1">
      <alignment horizontal="center" vertical="center"/>
      <protection locked="0"/>
    </xf>
    <xf numFmtId="0" fontId="13" fillId="5" borderId="156" xfId="0" applyFont="1" applyFill="1" applyBorder="1" applyAlignment="1" applyProtection="1">
      <alignment horizontal="center" vertical="center" wrapText="1"/>
    </xf>
    <xf numFmtId="167" fontId="13" fillId="0" borderId="157" xfId="0" applyNumberFormat="1" applyFont="1" applyFill="1" applyBorder="1" applyAlignment="1" applyProtection="1">
      <alignment horizontal="right" vertical="center"/>
      <protection locked="0"/>
    </xf>
    <xf numFmtId="167" fontId="13" fillId="0" borderId="4" xfId="0" applyNumberFormat="1" applyFont="1" applyFill="1" applyBorder="1" applyAlignment="1" applyProtection="1">
      <alignment horizontal="right" vertical="center"/>
      <protection locked="0"/>
    </xf>
    <xf numFmtId="167" fontId="12" fillId="0" borderId="4" xfId="0" applyNumberFormat="1" applyFont="1" applyFill="1" applyBorder="1" applyAlignment="1" applyProtection="1">
      <alignment horizontal="right" vertical="center"/>
      <protection locked="0"/>
    </xf>
    <xf numFmtId="167" fontId="13" fillId="0" borderId="149" xfId="0" applyNumberFormat="1" applyFont="1" applyFill="1" applyBorder="1" applyAlignment="1" applyProtection="1">
      <alignment horizontal="right" vertical="center"/>
      <protection locked="0"/>
    </xf>
    <xf numFmtId="167" fontId="13" fillId="0" borderId="156" xfId="0" applyNumberFormat="1" applyFont="1" applyFill="1" applyBorder="1" applyAlignment="1" applyProtection="1">
      <alignment horizontal="right" vertical="center"/>
    </xf>
    <xf numFmtId="0" fontId="89" fillId="3" borderId="0" xfId="0" applyFont="1" applyFill="1" applyAlignment="1" applyProtection="1">
      <alignment wrapText="1"/>
    </xf>
    <xf numFmtId="0" fontId="88" fillId="3" borderId="0" xfId="0" quotePrefix="1" applyNumberFormat="1" applyFont="1" applyFill="1" applyAlignment="1" applyProtection="1">
      <alignment wrapText="1"/>
    </xf>
    <xf numFmtId="0" fontId="88" fillId="3" borderId="0" xfId="0" applyNumberFormat="1" applyFont="1" applyFill="1" applyAlignment="1" applyProtection="1">
      <alignment vertical="top" wrapText="1"/>
    </xf>
    <xf numFmtId="0" fontId="88" fillId="3" borderId="0" xfId="0" applyFont="1" applyFill="1" applyAlignment="1" applyProtection="1">
      <alignment vertical="center" wrapText="1"/>
    </xf>
    <xf numFmtId="0" fontId="90" fillId="3" borderId="0" xfId="0" applyFont="1" applyFill="1" applyAlignment="1" applyProtection="1">
      <alignment wrapText="1"/>
    </xf>
    <xf numFmtId="166" fontId="12" fillId="0" borderId="4" xfId="0" applyNumberFormat="1" applyFont="1" applyFill="1" applyBorder="1" applyAlignment="1" applyProtection="1">
      <alignment horizontal="left" vertical="center" indent="1"/>
      <protection locked="0"/>
    </xf>
    <xf numFmtId="0" fontId="13" fillId="14" borderId="98" xfId="0" applyFont="1" applyFill="1" applyBorder="1" applyAlignment="1" applyProtection="1">
      <alignment horizontal="center" vertical="center"/>
    </xf>
    <xf numFmtId="0" fontId="13" fillId="3" borderId="0" xfId="0" applyFont="1" applyFill="1" applyBorder="1" applyAlignment="1" applyProtection="1">
      <alignment horizontal="right" vertical="center"/>
    </xf>
    <xf numFmtId="167" fontId="12" fillId="3" borderId="0" xfId="0" applyNumberFormat="1" applyFont="1" applyFill="1" applyBorder="1" applyAlignment="1" applyProtection="1">
      <alignment horizontal="right" vertical="center"/>
    </xf>
    <xf numFmtId="167" fontId="13" fillId="3" borderId="0" xfId="0" applyNumberFormat="1" applyFont="1" applyFill="1" applyBorder="1" applyAlignment="1" applyProtection="1">
      <alignment horizontal="right" vertical="center"/>
    </xf>
    <xf numFmtId="0" fontId="1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13" fillId="14" borderId="155" xfId="0" applyFont="1" applyFill="1" applyBorder="1" applyAlignment="1" applyProtection="1">
      <alignment horizontal="center" vertical="center"/>
    </xf>
    <xf numFmtId="0" fontId="13" fillId="3" borderId="122" xfId="0" applyFont="1" applyFill="1" applyBorder="1" applyAlignment="1" applyProtection="1">
      <alignment horizontal="center" vertical="center"/>
      <protection locked="0"/>
    </xf>
    <xf numFmtId="0" fontId="28" fillId="3" borderId="0" xfId="0" applyFont="1" applyFill="1" applyBorder="1" applyProtection="1"/>
    <xf numFmtId="0" fontId="28" fillId="3" borderId="0" xfId="0" applyFont="1" applyFill="1" applyProtection="1"/>
    <xf numFmtId="0" fontId="4" fillId="3" borderId="0" xfId="0" applyFont="1" applyFill="1" applyBorder="1" applyAlignment="1" applyProtection="1">
      <alignment horizontal="left" vertical="center" wrapText="1"/>
      <protection locked="0"/>
    </xf>
    <xf numFmtId="0" fontId="12" fillId="3" borderId="0" xfId="0" applyFont="1" applyFill="1" applyAlignment="1" applyProtection="1">
      <alignment horizontal="left" vertical="center"/>
    </xf>
    <xf numFmtId="0" fontId="28" fillId="3" borderId="0" xfId="0" applyFont="1" applyFill="1" applyBorder="1" applyAlignment="1" applyProtection="1"/>
    <xf numFmtId="0" fontId="2" fillId="3" borderId="41" xfId="0" applyFont="1" applyFill="1" applyBorder="1" applyAlignment="1" applyProtection="1"/>
    <xf numFmtId="0" fontId="12" fillId="0" borderId="62" xfId="0" applyFont="1" applyFill="1" applyBorder="1" applyAlignment="1" applyProtection="1">
      <protection locked="0"/>
    </xf>
    <xf numFmtId="3" fontId="12" fillId="0" borderId="62" xfId="0" applyNumberFormat="1" applyFont="1" applyFill="1" applyBorder="1" applyAlignment="1" applyProtection="1"/>
    <xf numFmtId="3" fontId="12" fillId="0" borderId="79" xfId="0" applyNumberFormat="1" applyFont="1" applyFill="1" applyBorder="1" applyAlignment="1" applyProtection="1"/>
    <xf numFmtId="3" fontId="12" fillId="0" borderId="54" xfId="0" applyNumberFormat="1" applyFont="1" applyFill="1" applyBorder="1" applyAlignment="1" applyProtection="1"/>
    <xf numFmtId="0" fontId="12" fillId="0" borderId="18" xfId="0" applyFont="1" applyBorder="1" applyAlignment="1" applyProtection="1">
      <alignment vertical="top" wrapText="1"/>
    </xf>
    <xf numFmtId="0" fontId="12" fillId="0" borderId="20" xfId="0" applyFont="1" applyBorder="1" applyAlignment="1" applyProtection="1">
      <alignment vertical="top" wrapText="1"/>
    </xf>
    <xf numFmtId="0" fontId="12" fillId="0" borderId="22" xfId="0" applyFont="1" applyBorder="1" applyAlignment="1" applyProtection="1">
      <alignment vertical="top" wrapText="1"/>
    </xf>
    <xf numFmtId="0" fontId="0" fillId="0" borderId="158" xfId="0" applyBorder="1" applyAlignment="1" applyProtection="1">
      <alignment horizontal="center" wrapText="1"/>
      <protection locked="0"/>
    </xf>
    <xf numFmtId="0" fontId="0" fillId="0" borderId="159" xfId="0" applyBorder="1" applyAlignment="1" applyProtection="1">
      <alignment horizontal="left" wrapText="1"/>
      <protection locked="0"/>
    </xf>
    <xf numFmtId="0" fontId="0" fillId="0" borderId="160" xfId="0" applyBorder="1" applyAlignment="1" applyProtection="1">
      <alignment horizontal="center" wrapText="1" shrinkToFit="1"/>
      <protection locked="0"/>
    </xf>
    <xf numFmtId="0" fontId="0" fillId="0" borderId="161" xfId="0" applyBorder="1" applyAlignment="1" applyProtection="1">
      <alignment horizontal="center" wrapText="1"/>
      <protection locked="0"/>
    </xf>
    <xf numFmtId="0" fontId="0" fillId="0" borderId="162" xfId="0" applyBorder="1" applyAlignment="1" applyProtection="1">
      <alignment horizontal="left" wrapText="1"/>
      <protection locked="0"/>
    </xf>
    <xf numFmtId="0" fontId="0" fillId="0" borderId="163" xfId="0" applyBorder="1" applyAlignment="1" applyProtection="1">
      <alignment horizontal="center" wrapText="1" shrinkToFit="1"/>
      <protection locked="0"/>
    </xf>
    <xf numFmtId="0" fontId="0" fillId="0" borderId="164" xfId="0" applyBorder="1" applyAlignment="1" applyProtection="1">
      <alignment horizontal="center" wrapText="1"/>
      <protection locked="0"/>
    </xf>
    <xf numFmtId="0" fontId="0" fillId="0" borderId="165" xfId="0" applyBorder="1" applyAlignment="1" applyProtection="1">
      <alignment horizontal="left" wrapText="1"/>
      <protection locked="0"/>
    </xf>
    <xf numFmtId="0" fontId="0" fillId="0" borderId="166" xfId="0" applyBorder="1" applyAlignment="1" applyProtection="1">
      <alignment horizontal="center" wrapText="1" shrinkToFit="1"/>
      <protection locked="0"/>
    </xf>
    <xf numFmtId="0" fontId="2" fillId="0" borderId="111" xfId="0" applyFont="1" applyBorder="1" applyAlignment="1" applyProtection="1">
      <alignment horizontal="center" wrapText="1"/>
      <protection locked="0"/>
    </xf>
    <xf numFmtId="0" fontId="12" fillId="0" borderId="18" xfId="0" applyFont="1" applyBorder="1" applyAlignment="1">
      <alignment horizontal="left" vertical="top" wrapText="1"/>
    </xf>
    <xf numFmtId="0" fontId="12" fillId="0" borderId="20" xfId="0" applyFont="1" applyBorder="1" applyAlignment="1">
      <alignment horizontal="left" vertical="top" wrapText="1"/>
    </xf>
    <xf numFmtId="0" fontId="18" fillId="0" borderId="22" xfId="0" applyFont="1" applyBorder="1" applyAlignment="1">
      <alignment vertical="top" wrapText="1"/>
    </xf>
    <xf numFmtId="9" fontId="2" fillId="0" borderId="1" xfId="0" quotePrefix="1" applyNumberFormat="1" applyFont="1" applyFill="1" applyBorder="1" applyAlignment="1" applyProtection="1">
      <alignment horizontal="center" vertical="center"/>
      <protection locked="0"/>
    </xf>
    <xf numFmtId="3" fontId="2" fillId="0" borderId="1" xfId="0" quotePrefix="1" applyNumberFormat="1" applyFont="1" applyFill="1" applyBorder="1" applyAlignment="1" applyProtection="1">
      <alignment horizontal="center" vertical="center"/>
      <protection locked="0"/>
    </xf>
    <xf numFmtId="9" fontId="2" fillId="0" borderId="1" xfId="19" applyNumberFormat="1" applyFont="1" applyFill="1" applyBorder="1" applyAlignment="1" applyProtection="1">
      <alignment horizontal="center" vertical="center" wrapText="1"/>
      <protection locked="0"/>
    </xf>
    <xf numFmtId="9" fontId="2" fillId="0" borderId="1" xfId="19"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right" vertical="center"/>
      <protection locked="0"/>
    </xf>
    <xf numFmtId="4" fontId="12" fillId="0" borderId="85" xfId="0" applyNumberFormat="1" applyFont="1" applyFill="1" applyBorder="1" applyAlignment="1" applyProtection="1">
      <alignment horizontal="right" vertical="center"/>
      <protection locked="0"/>
    </xf>
    <xf numFmtId="4" fontId="12" fillId="3" borderId="75" xfId="0" applyNumberFormat="1" applyFont="1" applyFill="1" applyBorder="1" applyAlignment="1" applyProtection="1">
      <alignment horizontal="right" vertical="center"/>
      <protection locked="0"/>
    </xf>
    <xf numFmtId="4" fontId="12" fillId="3" borderId="85" xfId="0" applyNumberFormat="1" applyFont="1" applyFill="1" applyBorder="1" applyAlignment="1" applyProtection="1">
      <alignment horizontal="right" vertical="center"/>
      <protection locked="0"/>
    </xf>
    <xf numFmtId="3" fontId="29" fillId="0" borderId="3" xfId="12" applyNumberFormat="1" applyFont="1" applyBorder="1" applyAlignment="1" applyProtection="1">
      <alignment horizontal="right" vertical="top" wrapText="1"/>
      <protection locked="0"/>
    </xf>
    <xf numFmtId="3" fontId="29" fillId="0" borderId="1" xfId="12" applyNumberFormat="1" applyFont="1" applyBorder="1" applyAlignment="1" applyProtection="1">
      <alignment horizontal="right" vertical="top" wrapText="1"/>
      <protection locked="0"/>
    </xf>
    <xf numFmtId="3" fontId="29" fillId="0" borderId="28" xfId="18" applyNumberFormat="1" applyFont="1" applyBorder="1" applyAlignment="1" applyProtection="1">
      <alignment horizontal="right" vertical="top" wrapText="1"/>
      <protection locked="0"/>
    </xf>
    <xf numFmtId="0" fontId="17" fillId="0" borderId="11" xfId="0" applyFont="1" applyFill="1" applyBorder="1" applyAlignment="1" applyProtection="1">
      <alignment horizontal="left"/>
    </xf>
    <xf numFmtId="0" fontId="17" fillId="0" borderId="0" xfId="0" applyFont="1" applyFill="1" applyBorder="1" applyAlignment="1" applyProtection="1">
      <alignment horizontal="left"/>
    </xf>
    <xf numFmtId="178" fontId="12" fillId="0" borderId="69" xfId="0" applyNumberFormat="1" applyFont="1" applyFill="1" applyBorder="1" applyAlignment="1" applyProtection="1">
      <protection locked="0"/>
    </xf>
    <xf numFmtId="178" fontId="12" fillId="0" borderId="69" xfId="0" applyNumberFormat="1" applyFont="1" applyFill="1" applyBorder="1" applyAlignment="1" applyProtection="1"/>
    <xf numFmtId="0" fontId="12" fillId="3" borderId="1" xfId="13" applyFont="1" applyFill="1" applyBorder="1" applyAlignment="1" applyProtection="1">
      <alignment horizontal="left"/>
      <protection locked="0"/>
    </xf>
    <xf numFmtId="3" fontId="15" fillId="4" borderId="13" xfId="0" applyNumberFormat="1" applyFont="1" applyFill="1" applyBorder="1" applyAlignment="1" applyProtection="1">
      <alignment horizontal="center" vertical="center"/>
      <protection locked="0"/>
    </xf>
    <xf numFmtId="0" fontId="12" fillId="22" borderId="1" xfId="0" applyFont="1" applyFill="1" applyBorder="1" applyAlignment="1" applyProtection="1">
      <alignment horizontal="center" vertical="center" wrapText="1"/>
    </xf>
    <xf numFmtId="169" fontId="12" fillId="23" borderId="1" xfId="0" applyNumberFormat="1" applyFont="1" applyFill="1" applyBorder="1" applyAlignment="1" applyProtection="1">
      <alignment horizontal="right" vertical="center"/>
      <protection locked="0"/>
    </xf>
    <xf numFmtId="43" fontId="12" fillId="23" borderId="1" xfId="0" applyNumberFormat="1" applyFont="1" applyFill="1" applyBorder="1" applyAlignment="1" applyProtection="1">
      <alignment horizontal="left" vertical="center"/>
      <protection locked="0"/>
    </xf>
    <xf numFmtId="43" fontId="12" fillId="24" borderId="1" xfId="0" applyNumberFormat="1" applyFont="1" applyFill="1" applyBorder="1" applyAlignment="1" applyProtection="1">
      <alignment horizontal="left" vertical="center"/>
    </xf>
    <xf numFmtId="3" fontId="12" fillId="3" borderId="120" xfId="0" applyNumberFormat="1" applyFont="1" applyFill="1" applyBorder="1" applyAlignment="1" applyProtection="1">
      <alignment horizontal="center" vertical="center" wrapText="1"/>
      <protection locked="0"/>
    </xf>
    <xf numFmtId="0" fontId="98" fillId="0" borderId="0" xfId="13" applyFont="1" applyFill="1"/>
    <xf numFmtId="0" fontId="99" fillId="0" borderId="0" xfId="13" applyFont="1" applyFill="1" applyAlignment="1">
      <alignment vertical="center"/>
    </xf>
    <xf numFmtId="0" fontId="2" fillId="0" borderId="0" xfId="13" applyFill="1"/>
    <xf numFmtId="43" fontId="100" fillId="25" borderId="1" xfId="14" applyNumberFormat="1" applyFont="1" applyFill="1" applyBorder="1" applyAlignment="1">
      <alignment horizontal="center" vertical="center" wrapText="1"/>
    </xf>
    <xf numFmtId="0" fontId="99" fillId="25" borderId="0" xfId="13" applyFont="1" applyFill="1" applyAlignment="1">
      <alignment vertical="center"/>
    </xf>
    <xf numFmtId="164" fontId="100" fillId="25" borderId="1" xfId="5" applyFont="1" applyFill="1" applyBorder="1" applyAlignment="1">
      <alignment horizontal="center" vertical="center" wrapText="1"/>
    </xf>
    <xf numFmtId="0" fontId="98" fillId="25" borderId="1" xfId="13" applyFont="1" applyFill="1" applyBorder="1"/>
    <xf numFmtId="0" fontId="98" fillId="25" borderId="6" xfId="13" applyFont="1" applyFill="1" applyBorder="1"/>
    <xf numFmtId="0" fontId="99" fillId="0" borderId="1" xfId="13" applyFont="1" applyFill="1" applyBorder="1" applyAlignment="1">
      <alignment horizontal="center" vertical="center"/>
    </xf>
    <xf numFmtId="0" fontId="99" fillId="0" borderId="1" xfId="15" applyFont="1" applyFill="1" applyBorder="1" applyAlignment="1">
      <alignment horizontal="left" vertical="center" wrapText="1"/>
    </xf>
    <xf numFmtId="43" fontId="99" fillId="0" borderId="1" xfId="13" applyNumberFormat="1" applyFont="1" applyFill="1" applyBorder="1" applyAlignment="1">
      <alignment horizontal="center" vertical="center"/>
    </xf>
    <xf numFmtId="43" fontId="99" fillId="0" borderId="1" xfId="14" applyNumberFormat="1" applyFont="1" applyFill="1" applyBorder="1" applyAlignment="1">
      <alignment horizontal="center" vertical="center" wrapText="1"/>
    </xf>
    <xf numFmtId="164" fontId="99" fillId="0" borderId="1" xfId="5" applyFont="1" applyFill="1" applyBorder="1" applyAlignment="1">
      <alignment horizontal="center" vertical="center" wrapText="1"/>
    </xf>
    <xf numFmtId="164" fontId="99" fillId="0" borderId="1" xfId="5" applyFont="1" applyFill="1" applyBorder="1" applyAlignment="1">
      <alignment horizontal="center" vertical="center"/>
    </xf>
    <xf numFmtId="164" fontId="99" fillId="0" borderId="6" xfId="5" applyFont="1" applyFill="1" applyBorder="1" applyAlignment="1">
      <alignment horizontal="center" vertical="center" wrapText="1"/>
    </xf>
    <xf numFmtId="43" fontId="99" fillId="0" borderId="93" xfId="13" applyNumberFormat="1" applyFont="1" applyFill="1" applyBorder="1" applyAlignment="1">
      <alignment vertical="center"/>
    </xf>
    <xf numFmtId="43" fontId="99" fillId="0" borderId="1" xfId="13" applyNumberFormat="1" applyFont="1" applyFill="1" applyBorder="1" applyAlignment="1">
      <alignment vertical="center"/>
    </xf>
    <xf numFmtId="43" fontId="99" fillId="0" borderId="13" xfId="13" applyNumberFormat="1" applyFont="1" applyFill="1" applyBorder="1" applyAlignment="1">
      <alignment vertical="center"/>
    </xf>
    <xf numFmtId="9" fontId="99" fillId="0" borderId="1" xfId="20" applyFont="1" applyFill="1" applyBorder="1" applyAlignment="1">
      <alignment horizontal="center" vertical="center"/>
    </xf>
    <xf numFmtId="0" fontId="99" fillId="0" borderId="1" xfId="13" applyFont="1" applyFill="1" applyBorder="1" applyAlignment="1">
      <alignment vertical="center" wrapText="1"/>
    </xf>
    <xf numFmtId="0" fontId="2" fillId="0" borderId="0" xfId="13" applyFont="1" applyFill="1"/>
    <xf numFmtId="164" fontId="102" fillId="0" borderId="1" xfId="7" applyFont="1" applyFill="1" applyBorder="1" applyAlignment="1">
      <alignment vertical="center"/>
    </xf>
    <xf numFmtId="43" fontId="98" fillId="0" borderId="1" xfId="13" applyNumberFormat="1" applyFont="1" applyFill="1" applyBorder="1" applyAlignment="1">
      <alignment horizontal="center" vertical="center"/>
    </xf>
    <xf numFmtId="0" fontId="99" fillId="0" borderId="1" xfId="13" applyFont="1" applyFill="1" applyBorder="1" applyAlignment="1">
      <alignment vertical="center"/>
    </xf>
    <xf numFmtId="164" fontId="102" fillId="0" borderId="1" xfId="7" applyFont="1" applyFill="1" applyBorder="1" applyAlignment="1">
      <alignment vertical="center" wrapText="1"/>
    </xf>
    <xf numFmtId="43" fontId="98" fillId="0" borderId="1" xfId="13" applyNumberFormat="1" applyFont="1" applyFill="1" applyBorder="1" applyAlignment="1">
      <alignment horizontal="center"/>
    </xf>
    <xf numFmtId="43" fontId="100" fillId="0" borderId="1" xfId="14" applyNumberFormat="1" applyFont="1" applyFill="1" applyBorder="1" applyAlignment="1">
      <alignment horizontal="center" vertical="center" wrapText="1"/>
    </xf>
    <xf numFmtId="164" fontId="100" fillId="0" borderId="1" xfId="5" applyFont="1" applyFill="1" applyBorder="1" applyAlignment="1">
      <alignment horizontal="center" vertical="center" wrapText="1"/>
    </xf>
    <xf numFmtId="0" fontId="98" fillId="0" borderId="1" xfId="13" applyFont="1" applyFill="1" applyBorder="1"/>
    <xf numFmtId="0" fontId="98" fillId="0" borderId="6" xfId="13" applyFont="1" applyFill="1" applyBorder="1"/>
    <xf numFmtId="0" fontId="99" fillId="0" borderId="0" xfId="13" applyFont="1" applyFill="1"/>
    <xf numFmtId="164" fontId="103" fillId="0" borderId="1" xfId="7" applyFont="1" applyFill="1" applyBorder="1" applyAlignment="1">
      <alignment vertical="center"/>
    </xf>
    <xf numFmtId="0" fontId="99" fillId="0" borderId="1" xfId="14" applyFont="1" applyFill="1" applyBorder="1" applyAlignment="1">
      <alignment horizontal="left" vertical="center" wrapText="1"/>
    </xf>
    <xf numFmtId="0" fontId="99" fillId="0" borderId="1" xfId="13" applyFont="1" applyFill="1" applyBorder="1"/>
    <xf numFmtId="164" fontId="98" fillId="0" borderId="0" xfId="5" applyFont="1" applyFill="1"/>
    <xf numFmtId="0" fontId="99" fillId="0" borderId="28" xfId="13" applyFont="1" applyFill="1" applyBorder="1" applyAlignment="1">
      <alignment horizontal="center" vertical="center"/>
    </xf>
    <xf numFmtId="0" fontId="99" fillId="0" borderId="28" xfId="15" applyFont="1" applyFill="1" applyBorder="1" applyAlignment="1">
      <alignment horizontal="left" vertical="center" wrapText="1"/>
    </xf>
    <xf numFmtId="43" fontId="99" fillId="0" borderId="28" xfId="14" applyNumberFormat="1" applyFont="1" applyFill="1" applyBorder="1" applyAlignment="1">
      <alignment horizontal="center" vertical="center" wrapText="1"/>
    </xf>
    <xf numFmtId="164" fontId="99" fillId="0" borderId="28" xfId="5" applyFont="1" applyFill="1" applyBorder="1" applyAlignment="1">
      <alignment horizontal="center" vertical="center" wrapText="1"/>
    </xf>
    <xf numFmtId="164" fontId="99" fillId="0" borderId="28" xfId="5" applyFont="1" applyFill="1" applyBorder="1" applyAlignment="1">
      <alignment horizontal="center" vertical="center"/>
    </xf>
    <xf numFmtId="164" fontId="99" fillId="0" borderId="13" xfId="5" applyFont="1" applyFill="1" applyBorder="1" applyAlignment="1">
      <alignment horizontal="center" vertical="center" wrapText="1"/>
    </xf>
    <xf numFmtId="0" fontId="99" fillId="0" borderId="1" xfId="13" applyFont="1" applyFill="1" applyBorder="1" applyAlignment="1">
      <alignment horizontal="center"/>
    </xf>
    <xf numFmtId="0" fontId="98" fillId="0" borderId="1" xfId="13" applyFont="1" applyFill="1" applyBorder="1" applyAlignment="1"/>
    <xf numFmtId="164" fontId="98" fillId="0" borderId="1" xfId="5" applyFont="1" applyFill="1" applyBorder="1" applyAlignment="1"/>
    <xf numFmtId="164" fontId="98" fillId="0" borderId="1" xfId="5" applyFont="1" applyFill="1" applyBorder="1" applyAlignment="1">
      <alignment vertical="center" wrapText="1"/>
    </xf>
    <xf numFmtId="0" fontId="99" fillId="0" borderId="75" xfId="13" applyFont="1" applyFill="1" applyBorder="1" applyAlignment="1">
      <alignment horizontal="center" vertical="center"/>
    </xf>
    <xf numFmtId="0" fontId="99" fillId="0" borderId="75" xfId="15" applyFont="1" applyFill="1" applyBorder="1" applyAlignment="1">
      <alignment horizontal="left" vertical="center"/>
    </xf>
    <xf numFmtId="43" fontId="99" fillId="0" borderId="75" xfId="14" applyNumberFormat="1" applyFont="1" applyFill="1" applyBorder="1" applyAlignment="1">
      <alignment horizontal="center" vertical="center" wrapText="1"/>
    </xf>
    <xf numFmtId="164" fontId="99" fillId="0" borderId="75" xfId="5" applyFont="1" applyFill="1" applyBorder="1" applyAlignment="1">
      <alignment horizontal="center" vertical="center" wrapText="1"/>
    </xf>
    <xf numFmtId="0" fontId="99" fillId="0" borderId="1" xfId="15" applyFont="1" applyFill="1" applyBorder="1" applyAlignment="1">
      <alignment horizontal="left" vertical="center"/>
    </xf>
    <xf numFmtId="0" fontId="99" fillId="0" borderId="13" xfId="13" applyFont="1" applyFill="1" applyBorder="1" applyAlignment="1">
      <alignment horizontal="center" vertical="center"/>
    </xf>
    <xf numFmtId="0" fontId="99" fillId="0" borderId="6" xfId="15" applyFont="1" applyFill="1" applyBorder="1" applyAlignment="1">
      <alignment horizontal="left" vertical="center" wrapText="1"/>
    </xf>
    <xf numFmtId="0" fontId="99" fillId="0" borderId="0" xfId="13" applyFont="1" applyFill="1" applyAlignment="1">
      <alignment horizontal="center"/>
    </xf>
    <xf numFmtId="0" fontId="99" fillId="26" borderId="1" xfId="13" applyFont="1" applyFill="1" applyBorder="1" applyAlignment="1">
      <alignment horizontal="center" vertical="center"/>
    </xf>
    <xf numFmtId="0" fontId="99" fillId="26" borderId="1" xfId="15" applyFont="1" applyFill="1" applyBorder="1" applyAlignment="1">
      <alignment horizontal="left" vertical="center" wrapText="1"/>
    </xf>
    <xf numFmtId="164" fontId="99" fillId="0" borderId="13" xfId="5" applyFont="1" applyFill="1" applyBorder="1" applyAlignment="1">
      <alignment horizontal="center" vertical="center"/>
    </xf>
    <xf numFmtId="43" fontId="104" fillId="0" borderId="1" xfId="14" applyNumberFormat="1" applyFont="1" applyFill="1" applyBorder="1" applyAlignment="1">
      <alignment horizontal="center" vertical="center" wrapText="1"/>
    </xf>
    <xf numFmtId="43" fontId="100" fillId="0" borderId="1" xfId="4" applyFont="1" applyFill="1" applyBorder="1" applyAlignment="1">
      <alignment horizontal="center" vertical="center" wrapText="1"/>
    </xf>
    <xf numFmtId="0" fontId="101" fillId="0" borderId="98" xfId="13" applyFont="1" applyFill="1" applyBorder="1" applyAlignment="1">
      <alignment vertical="center"/>
    </xf>
    <xf numFmtId="0" fontId="101" fillId="0" borderId="49" xfId="13" applyFont="1" applyFill="1" applyBorder="1" applyAlignment="1">
      <alignment vertical="center"/>
    </xf>
    <xf numFmtId="0" fontId="101" fillId="0" borderId="49" xfId="13" applyFont="1" applyFill="1" applyBorder="1" applyAlignment="1">
      <alignment horizontal="center" vertical="center"/>
    </xf>
    <xf numFmtId="43" fontId="101" fillId="0" borderId="120" xfId="13" applyNumberFormat="1" applyFont="1" applyFill="1" applyBorder="1" applyAlignment="1">
      <alignment vertical="center"/>
    </xf>
    <xf numFmtId="0" fontId="99" fillId="0" borderId="0" xfId="13" applyFont="1" applyFill="1" applyBorder="1" applyAlignment="1">
      <alignment vertical="center"/>
    </xf>
    <xf numFmtId="0" fontId="101" fillId="0" borderId="0" xfId="13" applyFont="1" applyFill="1" applyBorder="1"/>
    <xf numFmtId="43" fontId="101" fillId="0" borderId="1" xfId="13" applyNumberFormat="1" applyFont="1" applyFill="1" applyBorder="1" applyAlignment="1">
      <alignment vertical="center"/>
    </xf>
    <xf numFmtId="43" fontId="98" fillId="0" borderId="1" xfId="13" applyNumberFormat="1" applyFont="1" applyFill="1" applyBorder="1" applyAlignment="1">
      <alignment vertical="center"/>
    </xf>
    <xf numFmtId="9" fontId="98" fillId="0" borderId="0" xfId="20" applyFont="1" applyFill="1"/>
    <xf numFmtId="0" fontId="98" fillId="0" borderId="0" xfId="13" applyFont="1" applyFill="1" applyBorder="1"/>
    <xf numFmtId="43" fontId="98" fillId="0" borderId="0" xfId="13" applyNumberFormat="1" applyFont="1" applyFill="1" applyBorder="1"/>
    <xf numFmtId="164" fontId="99" fillId="0" borderId="0" xfId="5" applyFont="1" applyFill="1" applyBorder="1" applyAlignment="1">
      <alignment horizontal="center" vertical="center"/>
    </xf>
    <xf numFmtId="43" fontId="99" fillId="0" borderId="0" xfId="13" applyNumberFormat="1" applyFont="1" applyFill="1" applyAlignment="1">
      <alignment horizontal="center" vertical="center"/>
    </xf>
    <xf numFmtId="164" fontId="98" fillId="0" borderId="0" xfId="5" applyFont="1" applyFill="1" applyBorder="1" applyAlignment="1">
      <alignment vertical="center"/>
    </xf>
    <xf numFmtId="0" fontId="99" fillId="0" borderId="0" xfId="13" applyFont="1" applyFill="1" applyBorder="1" applyAlignment="1">
      <alignment horizontal="center" vertical="center"/>
    </xf>
    <xf numFmtId="164" fontId="98" fillId="0" borderId="1" xfId="5" applyFont="1" applyFill="1" applyBorder="1" applyAlignment="1">
      <alignment horizontal="center"/>
    </xf>
    <xf numFmtId="43" fontId="98" fillId="0" borderId="0" xfId="13" applyNumberFormat="1" applyFont="1" applyFill="1" applyBorder="1" applyAlignment="1">
      <alignment horizontal="left"/>
    </xf>
    <xf numFmtId="0" fontId="98" fillId="0" borderId="0" xfId="13" applyFont="1" applyFill="1" applyBorder="1" applyAlignment="1">
      <alignment horizontal="left"/>
    </xf>
    <xf numFmtId="164" fontId="98" fillId="0" borderId="1" xfId="5" applyFont="1" applyFill="1" applyBorder="1"/>
    <xf numFmtId="0" fontId="98" fillId="0" borderId="93" xfId="13" applyFont="1" applyFill="1" applyBorder="1"/>
    <xf numFmtId="164" fontId="98" fillId="0" borderId="0" xfId="13" applyNumberFormat="1" applyFont="1" applyFill="1"/>
    <xf numFmtId="0" fontId="101" fillId="0" borderId="93" xfId="13" applyFont="1" applyFill="1" applyBorder="1"/>
    <xf numFmtId="43" fontId="101" fillId="0" borderId="1" xfId="13" applyNumberFormat="1" applyFont="1" applyFill="1" applyBorder="1" applyAlignment="1">
      <alignment horizontal="center"/>
    </xf>
    <xf numFmtId="43" fontId="101" fillId="0" borderId="1" xfId="13" applyNumberFormat="1" applyFont="1" applyFill="1" applyBorder="1"/>
    <xf numFmtId="43" fontId="99" fillId="0" borderId="0" xfId="13" applyNumberFormat="1" applyFont="1" applyFill="1"/>
    <xf numFmtId="0" fontId="101" fillId="25" borderId="6" xfId="13" applyFont="1" applyFill="1" applyBorder="1" applyAlignment="1">
      <alignment horizontal="center" vertical="center"/>
    </xf>
    <xf numFmtId="9" fontId="99" fillId="0" borderId="1" xfId="21" applyFont="1" applyFill="1" applyBorder="1" applyAlignment="1">
      <alignment horizontal="center" vertical="center"/>
    </xf>
    <xf numFmtId="0" fontId="2" fillId="0" borderId="0" xfId="17"/>
    <xf numFmtId="0" fontId="23" fillId="0" borderId="0" xfId="17" applyFont="1"/>
    <xf numFmtId="0" fontId="2" fillId="0" borderId="0" xfId="17" applyBorder="1" applyAlignment="1">
      <alignment horizontal="center"/>
    </xf>
    <xf numFmtId="0" fontId="23" fillId="0" borderId="17" xfId="17" applyFont="1" applyBorder="1" applyAlignment="1">
      <alignment horizontal="center"/>
    </xf>
    <xf numFmtId="0" fontId="23" fillId="0" borderId="0" xfId="17" applyFont="1" applyBorder="1" applyAlignment="1">
      <alignment horizontal="center"/>
    </xf>
    <xf numFmtId="43" fontId="29" fillId="0" borderId="17" xfId="10" applyFont="1" applyBorder="1"/>
    <xf numFmtId="43" fontId="29" fillId="0" borderId="0" xfId="10" applyFont="1" applyBorder="1"/>
    <xf numFmtId="43" fontId="120" fillId="0" borderId="167" xfId="9" applyNumberFormat="1" applyFont="1" applyFill="1" applyBorder="1">
      <alignment vertical="center"/>
    </xf>
    <xf numFmtId="43" fontId="2" fillId="0" borderId="0" xfId="17" applyNumberFormat="1"/>
    <xf numFmtId="43" fontId="120" fillId="0" borderId="168" xfId="9" applyNumberFormat="1" applyFont="1" applyFill="1" applyBorder="1">
      <alignment vertical="center"/>
    </xf>
    <xf numFmtId="43" fontId="109" fillId="0" borderId="17" xfId="10" applyFont="1" applyBorder="1"/>
    <xf numFmtId="43" fontId="109" fillId="0" borderId="0" xfId="10" applyFont="1" applyBorder="1"/>
    <xf numFmtId="43" fontId="2" fillId="0" borderId="0" xfId="10"/>
    <xf numFmtId="4" fontId="2" fillId="0" borderId="0" xfId="17" applyNumberFormat="1"/>
    <xf numFmtId="0" fontId="29" fillId="0" borderId="17" xfId="17" applyFont="1" applyBorder="1"/>
    <xf numFmtId="0" fontId="29" fillId="0" borderId="0" xfId="17" applyFont="1" applyBorder="1"/>
    <xf numFmtId="43" fontId="29" fillId="0" borderId="0" xfId="17" applyNumberFormat="1" applyFont="1" applyBorder="1"/>
    <xf numFmtId="43" fontId="109" fillId="0" borderId="17" xfId="17" applyNumberFormat="1" applyFont="1" applyBorder="1"/>
    <xf numFmtId="43" fontId="109" fillId="0" borderId="0" xfId="17" applyNumberFormat="1" applyFont="1" applyBorder="1"/>
    <xf numFmtId="0" fontId="23" fillId="25" borderId="169" xfId="17" applyFont="1" applyFill="1" applyBorder="1" applyAlignment="1">
      <alignment horizontal="center"/>
    </xf>
    <xf numFmtId="0" fontId="23" fillId="25" borderId="170" xfId="17" applyFont="1" applyFill="1" applyBorder="1" applyAlignment="1">
      <alignment horizontal="center"/>
    </xf>
    <xf numFmtId="0" fontId="23" fillId="25" borderId="171" xfId="17" applyFont="1" applyFill="1" applyBorder="1" applyAlignment="1">
      <alignment horizontal="center"/>
    </xf>
    <xf numFmtId="0" fontId="100" fillId="25" borderId="28" xfId="13" applyFont="1" applyFill="1" applyBorder="1" applyAlignment="1">
      <alignment horizontal="center" vertical="center"/>
    </xf>
    <xf numFmtId="4" fontId="15" fillId="4" borderId="3" xfId="0" applyNumberFormat="1" applyFont="1" applyFill="1" applyBorder="1" applyAlignment="1" applyProtection="1">
      <alignment horizontal="center" vertical="center"/>
    </xf>
    <xf numFmtId="4" fontId="15" fillId="3" borderId="28" xfId="0" applyNumberFormat="1" applyFont="1" applyFill="1" applyBorder="1" applyAlignment="1" applyProtection="1">
      <alignment horizontal="center" vertical="center"/>
      <protection locked="0"/>
    </xf>
    <xf numFmtId="4" fontId="15" fillId="4" borderId="28" xfId="0" applyNumberFormat="1" applyFont="1" applyFill="1" applyBorder="1" applyAlignment="1" applyProtection="1">
      <alignment horizontal="center" vertical="center"/>
    </xf>
    <xf numFmtId="4" fontId="15" fillId="3" borderId="85" xfId="0" applyNumberFormat="1" applyFont="1" applyFill="1" applyBorder="1" applyAlignment="1" applyProtection="1">
      <alignment horizontal="center" vertical="center"/>
      <protection locked="0"/>
    </xf>
    <xf numFmtId="4" fontId="15" fillId="4" borderId="85" xfId="0" applyNumberFormat="1" applyFont="1" applyFill="1" applyBorder="1" applyAlignment="1" applyProtection="1">
      <alignment horizontal="center" vertical="center"/>
    </xf>
    <xf numFmtId="179" fontId="15" fillId="4" borderId="1" xfId="0" applyNumberFormat="1" applyFont="1" applyFill="1" applyBorder="1" applyAlignment="1" applyProtection="1">
      <alignment horizontal="center" vertical="center"/>
    </xf>
    <xf numFmtId="4" fontId="15" fillId="4" borderId="1" xfId="0" applyNumberFormat="1" applyFont="1" applyFill="1" applyBorder="1" applyAlignment="1" applyProtection="1">
      <alignment horizontal="center" vertical="center"/>
    </xf>
    <xf numFmtId="4" fontId="13" fillId="0" borderId="151" xfId="0" applyNumberFormat="1" applyFont="1" applyFill="1" applyBorder="1" applyAlignment="1" applyProtection="1">
      <alignment horizontal="center"/>
      <protection locked="0"/>
    </xf>
    <xf numFmtId="4" fontId="12" fillId="4" borderId="54" xfId="0" applyNumberFormat="1" applyFont="1" applyFill="1" applyBorder="1" applyAlignment="1" applyProtection="1">
      <alignment horizontal="right"/>
    </xf>
    <xf numFmtId="4" fontId="13" fillId="4" borderId="54" xfId="0" applyNumberFormat="1" applyFont="1" applyFill="1" applyBorder="1" applyAlignment="1" applyProtection="1">
      <alignment horizontal="right"/>
    </xf>
    <xf numFmtId="4" fontId="12" fillId="0" borderId="0" xfId="0" applyNumberFormat="1" applyFont="1" applyFill="1" applyBorder="1" applyProtection="1"/>
    <xf numFmtId="4" fontId="13" fillId="4" borderId="78" xfId="0" applyNumberFormat="1" applyFont="1" applyFill="1" applyBorder="1" applyAlignment="1" applyProtection="1">
      <alignment horizontal="right"/>
    </xf>
    <xf numFmtId="4" fontId="12" fillId="0" borderId="1" xfId="0" applyNumberFormat="1" applyFont="1" applyFill="1" applyBorder="1" applyAlignment="1" applyProtection="1">
      <alignment horizontal="center" vertical="center"/>
      <protection locked="0"/>
    </xf>
    <xf numFmtId="164" fontId="99" fillId="0" borderId="25" xfId="5" applyFont="1" applyFill="1" applyBorder="1" applyAlignment="1">
      <alignment horizontal="center" vertical="center" wrapText="1"/>
    </xf>
    <xf numFmtId="9" fontId="99" fillId="0" borderId="28" xfId="21" applyFont="1" applyFill="1" applyBorder="1" applyAlignment="1">
      <alignment horizontal="center" vertical="center"/>
    </xf>
    <xf numFmtId="0" fontId="101" fillId="27" borderId="98" xfId="13" applyFont="1" applyFill="1" applyBorder="1" applyAlignment="1">
      <alignment vertical="center"/>
    </xf>
    <xf numFmtId="0" fontId="101" fillId="27" borderId="103" xfId="13" applyFont="1" applyFill="1" applyBorder="1" applyAlignment="1">
      <alignment vertical="center"/>
    </xf>
    <xf numFmtId="0" fontId="101" fillId="27" borderId="103" xfId="13" applyFont="1" applyFill="1" applyBorder="1" applyAlignment="1">
      <alignment horizontal="center" vertical="center"/>
    </xf>
    <xf numFmtId="43" fontId="101" fillId="27" borderId="122" xfId="13" applyNumberFormat="1" applyFont="1" applyFill="1" applyBorder="1" applyAlignment="1">
      <alignment vertical="center"/>
    </xf>
    <xf numFmtId="9" fontId="99" fillId="27" borderId="156" xfId="20" applyFont="1" applyFill="1" applyBorder="1" applyAlignment="1">
      <alignment horizontal="center" vertical="center"/>
    </xf>
    <xf numFmtId="0" fontId="101" fillId="27" borderId="122" xfId="13" applyFont="1" applyFill="1" applyBorder="1" applyAlignment="1">
      <alignment horizontal="center"/>
    </xf>
    <xf numFmtId="0" fontId="101" fillId="27" borderId="172" xfId="13" applyFont="1" applyFill="1" applyBorder="1" applyAlignment="1">
      <alignment horizontal="center"/>
    </xf>
    <xf numFmtId="0" fontId="101" fillId="27" borderId="69" xfId="13" applyFont="1" applyFill="1" applyBorder="1" applyAlignment="1">
      <alignment horizontal="center"/>
    </xf>
    <xf numFmtId="164" fontId="101" fillId="27" borderId="4" xfId="5" applyFont="1" applyFill="1" applyBorder="1"/>
    <xf numFmtId="0" fontId="101" fillId="28" borderId="93" xfId="13" applyFont="1" applyFill="1" applyBorder="1"/>
    <xf numFmtId="43" fontId="98" fillId="28" borderId="1" xfId="13" applyNumberFormat="1" applyFont="1" applyFill="1" applyBorder="1" applyAlignment="1">
      <alignment horizontal="center"/>
    </xf>
    <xf numFmtId="164" fontId="98" fillId="28" borderId="1" xfId="5" applyFont="1" applyFill="1" applyBorder="1"/>
    <xf numFmtId="0" fontId="101" fillId="28" borderId="173" xfId="13" applyFont="1" applyFill="1" applyBorder="1" applyAlignment="1">
      <alignment horizontal="center" vertical="center"/>
    </xf>
    <xf numFmtId="0" fontId="101" fillId="28" borderId="120" xfId="13" applyFont="1" applyFill="1" applyBorder="1" applyAlignment="1">
      <alignment horizontal="center" vertical="center"/>
    </xf>
    <xf numFmtId="164" fontId="101" fillId="28" borderId="120" xfId="5" applyFont="1" applyFill="1" applyBorder="1" applyAlignment="1">
      <alignment horizontal="center" vertical="center"/>
    </xf>
    <xf numFmtId="164" fontId="101" fillId="28" borderId="15" xfId="5" applyFont="1" applyFill="1" applyBorder="1" applyAlignment="1">
      <alignment horizontal="center" vertical="center"/>
    </xf>
    <xf numFmtId="43" fontId="101" fillId="28" borderId="1" xfId="13" applyNumberFormat="1" applyFont="1" applyFill="1" applyBorder="1" applyAlignment="1">
      <alignment horizontal="center" vertical="center"/>
    </xf>
    <xf numFmtId="164" fontId="101" fillId="28" borderId="1" xfId="5" applyFont="1" applyFill="1" applyBorder="1" applyAlignment="1">
      <alignment horizontal="center" vertical="center"/>
    </xf>
    <xf numFmtId="0" fontId="101" fillId="0" borderId="0" xfId="13" applyFont="1" applyFill="1" applyBorder="1" applyAlignment="1">
      <alignment vertical="center"/>
    </xf>
    <xf numFmtId="43" fontId="101" fillId="0" borderId="0" xfId="13" applyNumberFormat="1" applyFont="1" applyFill="1" applyBorder="1" applyAlignment="1">
      <alignment vertical="center"/>
    </xf>
    <xf numFmtId="9" fontId="99" fillId="0" borderId="0" xfId="20" applyFont="1" applyFill="1" applyBorder="1" applyAlignment="1">
      <alignment horizontal="center" vertical="center"/>
    </xf>
    <xf numFmtId="0" fontId="101" fillId="0" borderId="10" xfId="13" applyFont="1" applyFill="1" applyBorder="1" applyAlignment="1">
      <alignment vertical="center"/>
    </xf>
    <xf numFmtId="0" fontId="101" fillId="0" borderId="10" xfId="13" applyFont="1" applyFill="1" applyBorder="1" applyAlignment="1">
      <alignment horizontal="center" vertical="center"/>
    </xf>
    <xf numFmtId="43" fontId="101" fillId="0" borderId="10" xfId="13" applyNumberFormat="1" applyFont="1" applyFill="1" applyBorder="1" applyAlignment="1">
      <alignment vertical="center"/>
    </xf>
    <xf numFmtId="0" fontId="98" fillId="0" borderId="93" xfId="13" applyFont="1" applyFill="1" applyBorder="1" applyAlignment="1">
      <alignment horizontal="left"/>
    </xf>
    <xf numFmtId="0" fontId="98" fillId="29" borderId="94" xfId="13" applyFont="1" applyFill="1" applyBorder="1"/>
    <xf numFmtId="9" fontId="98" fillId="29" borderId="85" xfId="20" applyNumberFormat="1" applyFont="1" applyFill="1" applyBorder="1" applyAlignment="1">
      <alignment horizontal="center"/>
    </xf>
    <xf numFmtId="0" fontId="101" fillId="0" borderId="28" xfId="13" applyFont="1" applyFill="1" applyBorder="1" applyAlignment="1">
      <alignment horizontal="left" vertical="center"/>
    </xf>
    <xf numFmtId="0" fontId="101" fillId="0" borderId="28" xfId="13" applyFont="1" applyFill="1" applyBorder="1" applyAlignment="1">
      <alignment horizontal="center"/>
    </xf>
    <xf numFmtId="0" fontId="98" fillId="29" borderId="95" xfId="13" applyFont="1" applyFill="1" applyBorder="1"/>
    <xf numFmtId="9" fontId="98" fillId="29" borderId="75" xfId="20" applyNumberFormat="1" applyFont="1" applyFill="1" applyBorder="1" applyAlignment="1">
      <alignment horizontal="center"/>
    </xf>
    <xf numFmtId="164" fontId="101" fillId="27" borderId="4" xfId="5" applyFont="1" applyFill="1" applyBorder="1" applyAlignment="1">
      <alignment horizontal="center"/>
    </xf>
    <xf numFmtId="0" fontId="101" fillId="28" borderId="93" xfId="13" applyFont="1" applyFill="1" applyBorder="1" applyAlignment="1">
      <alignment horizontal="left" vertical="center"/>
    </xf>
    <xf numFmtId="164" fontId="101" fillId="28" borderId="4" xfId="5" applyFont="1" applyFill="1" applyBorder="1" applyAlignment="1">
      <alignment horizontal="center" vertical="center"/>
    </xf>
    <xf numFmtId="164" fontId="98" fillId="28" borderId="4" xfId="5" applyFont="1" applyFill="1" applyBorder="1"/>
    <xf numFmtId="43" fontId="98" fillId="27" borderId="4" xfId="13" applyNumberFormat="1" applyFont="1" applyFill="1" applyBorder="1" applyAlignment="1">
      <alignment horizontal="center"/>
    </xf>
    <xf numFmtId="43" fontId="101" fillId="27" borderId="4" xfId="13" applyNumberFormat="1" applyFont="1" applyFill="1" applyBorder="1"/>
    <xf numFmtId="9" fontId="98" fillId="29" borderId="96" xfId="20" applyNumberFormat="1" applyFont="1" applyFill="1" applyBorder="1" applyAlignment="1">
      <alignment horizontal="center"/>
    </xf>
    <xf numFmtId="3" fontId="110" fillId="3" borderId="23" xfId="0" applyNumberFormat="1" applyFont="1" applyFill="1" applyBorder="1" applyAlignment="1" applyProtection="1">
      <alignment horizontal="left" vertical="center" wrapText="1"/>
      <protection locked="0"/>
    </xf>
    <xf numFmtId="3" fontId="2" fillId="3" borderId="150" xfId="0" applyNumberFormat="1" applyFont="1" applyFill="1" applyBorder="1" applyAlignment="1" applyProtection="1">
      <alignment horizontal="left" vertical="center" wrapText="1"/>
      <protection locked="0"/>
    </xf>
    <xf numFmtId="0" fontId="5" fillId="0" borderId="1" xfId="13" applyFont="1" applyFill="1" applyBorder="1"/>
    <xf numFmtId="4" fontId="5" fillId="0" borderId="1" xfId="13" applyNumberFormat="1" applyFont="1" applyFill="1" applyBorder="1"/>
    <xf numFmtId="9" fontId="5" fillId="0" borderId="1" xfId="13" applyNumberFormat="1" applyFont="1" applyFill="1" applyBorder="1"/>
    <xf numFmtId="0" fontId="5" fillId="28" borderId="1" xfId="13" applyFont="1" applyFill="1" applyBorder="1"/>
    <xf numFmtId="0" fontId="111" fillId="28" borderId="1" xfId="13" applyFont="1" applyFill="1" applyBorder="1" applyAlignment="1">
      <alignment horizontal="center"/>
    </xf>
    <xf numFmtId="0" fontId="101" fillId="27" borderId="155" xfId="13" applyFont="1" applyFill="1" applyBorder="1" applyAlignment="1">
      <alignment horizontal="center"/>
    </xf>
    <xf numFmtId="0" fontId="111" fillId="0" borderId="1" xfId="13" applyFont="1" applyFill="1" applyBorder="1"/>
    <xf numFmtId="4" fontId="111" fillId="0" borderId="1" xfId="13" applyNumberFormat="1" applyFont="1" applyFill="1" applyBorder="1"/>
    <xf numFmtId="0" fontId="111" fillId="28" borderId="1" xfId="13" applyFont="1" applyFill="1" applyBorder="1"/>
    <xf numFmtId="4" fontId="111" fillId="28" borderId="1" xfId="13" applyNumberFormat="1" applyFont="1" applyFill="1" applyBorder="1"/>
    <xf numFmtId="9" fontId="5" fillId="0" borderId="1" xfId="19" applyFont="1" applyFill="1" applyBorder="1"/>
    <xf numFmtId="43" fontId="101" fillId="27" borderId="149" xfId="13" applyNumberFormat="1" applyFont="1" applyFill="1" applyBorder="1"/>
    <xf numFmtId="0" fontId="98" fillId="0" borderId="147" xfId="13" applyFont="1" applyFill="1" applyBorder="1"/>
    <xf numFmtId="9" fontId="101" fillId="0" borderId="28" xfId="19" applyFont="1" applyFill="1" applyBorder="1" applyAlignment="1">
      <alignment horizontal="center"/>
    </xf>
    <xf numFmtId="9" fontId="101" fillId="0" borderId="28" xfId="19" applyFont="1" applyFill="1" applyBorder="1"/>
    <xf numFmtId="3" fontId="12" fillId="3" borderId="4" xfId="0" applyNumberFormat="1" applyFont="1" applyFill="1" applyBorder="1" applyAlignment="1" applyProtection="1">
      <alignment horizontal="left" vertical="center" wrapText="1"/>
      <protection locked="0"/>
    </xf>
    <xf numFmtId="3" fontId="12" fillId="3" borderId="96" xfId="0" applyNumberFormat="1" applyFont="1" applyFill="1" applyBorder="1" applyAlignment="1" applyProtection="1">
      <alignment horizontal="left" vertical="center" wrapText="1"/>
      <protection locked="0"/>
    </xf>
    <xf numFmtId="2" fontId="12" fillId="3" borderId="1" xfId="0" applyNumberFormat="1" applyFont="1" applyFill="1" applyBorder="1" applyAlignment="1" applyProtection="1">
      <alignment vertical="center" wrapText="1"/>
      <protection locked="0"/>
    </xf>
    <xf numFmtId="0" fontId="29" fillId="0" borderId="0" xfId="0" applyFont="1" applyFill="1" applyAlignment="1" applyProtection="1">
      <alignment wrapText="1"/>
    </xf>
    <xf numFmtId="164" fontId="29" fillId="0" borderId="0" xfId="1" applyFont="1" applyFill="1" applyAlignment="1" applyProtection="1">
      <alignment wrapText="1"/>
    </xf>
    <xf numFmtId="0" fontId="121" fillId="0" borderId="0" xfId="0" applyFont="1" applyFill="1" applyBorder="1" applyAlignment="1" applyProtection="1">
      <alignment vertical="center" wrapText="1"/>
    </xf>
    <xf numFmtId="0" fontId="122" fillId="0" borderId="0" xfId="0" applyFont="1" applyFill="1" applyBorder="1" applyAlignment="1" applyProtection="1">
      <alignment vertical="center"/>
    </xf>
    <xf numFmtId="0" fontId="122" fillId="0" borderId="0" xfId="0" applyFont="1" applyFill="1" applyBorder="1" applyAlignment="1" applyProtection="1">
      <alignment vertical="center" wrapText="1"/>
    </xf>
    <xf numFmtId="0" fontId="112" fillId="0" borderId="0" xfId="0" applyFont="1" applyFill="1" applyBorder="1" applyAlignment="1" applyProtection="1">
      <alignment horizontal="right" vertical="top" wrapText="1"/>
    </xf>
    <xf numFmtId="164" fontId="108" fillId="0" borderId="0" xfId="1" applyFont="1" applyFill="1" applyAlignment="1" applyProtection="1">
      <alignment vertical="top" wrapText="1"/>
    </xf>
    <xf numFmtId="0" fontId="108" fillId="0" borderId="0" xfId="0" applyFont="1" applyFill="1" applyAlignment="1" applyProtection="1">
      <alignment vertical="top" wrapText="1"/>
    </xf>
    <xf numFmtId="0" fontId="108" fillId="0" borderId="0" xfId="0" applyFont="1" applyFill="1" applyBorder="1" applyAlignment="1" applyProtection="1">
      <alignment vertical="top" wrapText="1"/>
    </xf>
    <xf numFmtId="0" fontId="113" fillId="0" borderId="0" xfId="0" applyFont="1" applyFill="1" applyBorder="1" applyAlignment="1" applyProtection="1">
      <alignment vertical="center"/>
    </xf>
    <xf numFmtId="0" fontId="123" fillId="0" borderId="0" xfId="0" applyFont="1" applyFill="1" applyBorder="1" applyAlignment="1" applyProtection="1">
      <alignment vertical="center" wrapText="1"/>
      <protection locked="0"/>
    </xf>
    <xf numFmtId="0" fontId="123" fillId="0" borderId="0" xfId="0" applyFont="1" applyFill="1" applyBorder="1" applyAlignment="1" applyProtection="1">
      <alignment vertical="center"/>
      <protection locked="0"/>
    </xf>
    <xf numFmtId="0" fontId="123" fillId="0" borderId="0" xfId="0" applyFont="1" applyFill="1" applyBorder="1" applyAlignment="1" applyProtection="1">
      <alignment horizontal="center" vertical="center" wrapText="1"/>
      <protection locked="0"/>
    </xf>
    <xf numFmtId="164" fontId="123" fillId="0" borderId="0" xfId="1" applyFont="1" applyFill="1" applyAlignment="1" applyProtection="1">
      <alignment horizontal="center" vertical="center" wrapText="1"/>
      <protection locked="0"/>
    </xf>
    <xf numFmtId="0" fontId="124" fillId="0" borderId="1" xfId="0" applyFont="1" applyFill="1" applyBorder="1" applyAlignment="1" applyProtection="1">
      <alignment horizontal="center" vertical="center" wrapText="1"/>
      <protection locked="0"/>
    </xf>
    <xf numFmtId="0" fontId="123" fillId="0" borderId="0" xfId="0" applyFont="1" applyFill="1" applyAlignment="1" applyProtection="1">
      <alignment vertical="top" wrapText="1"/>
      <protection locked="0"/>
    </xf>
    <xf numFmtId="164" fontId="123" fillId="0" borderId="0" xfId="1" applyFont="1" applyFill="1" applyAlignment="1" applyProtection="1">
      <protection locked="0"/>
    </xf>
    <xf numFmtId="0" fontId="123" fillId="0" borderId="0" xfId="0" applyFont="1" applyFill="1" applyBorder="1" applyAlignment="1" applyProtection="1">
      <alignment vertical="top" wrapText="1"/>
      <protection locked="0"/>
    </xf>
    <xf numFmtId="0" fontId="123" fillId="0" borderId="0" xfId="0" applyFont="1" applyFill="1" applyAlignment="1" applyProtection="1">
      <alignment wrapText="1"/>
      <protection locked="0"/>
    </xf>
    <xf numFmtId="0" fontId="121" fillId="0" borderId="0" xfId="0" applyFont="1" applyFill="1" applyBorder="1" applyAlignment="1" applyProtection="1">
      <alignment vertical="center" wrapText="1"/>
      <protection locked="0"/>
    </xf>
    <xf numFmtId="0" fontId="125" fillId="0" borderId="1" xfId="0" applyNumberFormat="1" applyFont="1" applyFill="1" applyBorder="1" applyAlignment="1" applyProtection="1">
      <alignment horizontal="center" vertical="center" wrapText="1"/>
      <protection locked="0"/>
    </xf>
    <xf numFmtId="0" fontId="125" fillId="0" borderId="1" xfId="0" applyNumberFormat="1" applyFont="1" applyFill="1" applyBorder="1" applyAlignment="1" applyProtection="1">
      <alignment horizontal="left" vertical="center" wrapText="1"/>
      <protection locked="0"/>
    </xf>
    <xf numFmtId="0" fontId="125" fillId="0" borderId="0" xfId="0" applyNumberFormat="1" applyFont="1" applyFill="1" applyBorder="1" applyAlignment="1" applyProtection="1">
      <alignment horizontal="center" vertical="center" wrapText="1"/>
      <protection locked="0"/>
    </xf>
    <xf numFmtId="164" fontId="125" fillId="0" borderId="0" xfId="1" applyFont="1" applyFill="1" applyAlignment="1" applyProtection="1">
      <alignment horizontal="center" vertical="center" wrapText="1"/>
      <protection locked="0"/>
    </xf>
    <xf numFmtId="0" fontId="125" fillId="0" borderId="0" xfId="0" applyNumberFormat="1" applyFont="1" applyFill="1" applyAlignment="1" applyProtection="1">
      <alignment horizontal="center" vertical="center" wrapText="1"/>
      <protection locked="0"/>
    </xf>
    <xf numFmtId="9" fontId="126" fillId="0" borderId="75" xfId="20" applyNumberFormat="1" applyFont="1" applyFill="1" applyBorder="1" applyAlignment="1" applyProtection="1">
      <alignment horizontal="center" vertical="center" wrapText="1"/>
      <protection locked="0"/>
    </xf>
    <xf numFmtId="0" fontId="108" fillId="0" borderId="0" xfId="0" applyFont="1" applyFill="1" applyAlignment="1" applyProtection="1">
      <alignment vertical="top" wrapText="1"/>
      <protection locked="0"/>
    </xf>
    <xf numFmtId="0" fontId="29" fillId="0" borderId="0" xfId="0" applyFont="1" applyFill="1" applyAlignment="1" applyProtection="1">
      <alignment wrapText="1"/>
      <protection locked="0"/>
    </xf>
    <xf numFmtId="9" fontId="126" fillId="0" borderId="1" xfId="20" applyNumberFormat="1" applyFont="1" applyFill="1" applyBorder="1" applyAlignment="1" applyProtection="1">
      <alignment horizontal="center" vertical="center" wrapText="1"/>
      <protection locked="0"/>
    </xf>
    <xf numFmtId="0" fontId="18" fillId="30" borderId="0" xfId="0" applyFont="1" applyFill="1" applyBorder="1" applyAlignment="1" applyProtection="1">
      <alignment horizontal="center" vertical="center" wrapText="1"/>
      <protection locked="0"/>
    </xf>
    <xf numFmtId="164" fontId="108" fillId="0" borderId="0" xfId="1" applyFont="1" applyFill="1" applyAlignment="1" applyProtection="1">
      <alignment vertical="top" wrapText="1"/>
      <protection locked="0"/>
    </xf>
    <xf numFmtId="0" fontId="108" fillId="0" borderId="0" xfId="0" applyFont="1" applyFill="1" applyBorder="1" applyAlignment="1" applyProtection="1">
      <alignment vertical="top" wrapText="1"/>
      <protection locked="0"/>
    </xf>
    <xf numFmtId="9" fontId="126" fillId="0" borderId="0" xfId="20" applyNumberFormat="1" applyFont="1" applyFill="1" applyAlignment="1" applyProtection="1">
      <alignment horizontal="center" vertical="center" wrapText="1"/>
      <protection locked="0"/>
    </xf>
    <xf numFmtId="0" fontId="127" fillId="0" borderId="0" xfId="0" applyFont="1" applyFill="1" applyBorder="1" applyAlignment="1" applyProtection="1">
      <alignment vertical="center"/>
      <protection locked="0"/>
    </xf>
    <xf numFmtId="0" fontId="122" fillId="0" borderId="0" xfId="0" applyFont="1" applyFill="1" applyBorder="1" applyAlignment="1" applyProtection="1">
      <alignment vertical="center" wrapText="1"/>
      <protection locked="0"/>
    </xf>
    <xf numFmtId="0" fontId="108" fillId="0" borderId="0" xfId="0" applyFont="1" applyFill="1" applyBorder="1" applyAlignment="1" applyProtection="1">
      <alignment vertical="top"/>
    </xf>
    <xf numFmtId="0" fontId="108" fillId="0" borderId="0" xfId="0" applyFont="1" applyFill="1" applyBorder="1" applyAlignment="1" applyProtection="1">
      <alignment vertical="center" wrapText="1"/>
    </xf>
    <xf numFmtId="164" fontId="108" fillId="0" borderId="0" xfId="1" applyFont="1" applyFill="1" applyBorder="1" applyAlignment="1" applyProtection="1">
      <alignment vertical="center" wrapText="1"/>
    </xf>
    <xf numFmtId="0" fontId="128" fillId="0" borderId="0" xfId="0" applyFont="1" applyFill="1" applyBorder="1" applyAlignment="1" applyProtection="1">
      <alignment horizontal="center" vertical="center" wrapText="1"/>
    </xf>
    <xf numFmtId="164" fontId="128" fillId="0" borderId="0" xfId="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29" fillId="0" borderId="142" xfId="0" applyFont="1" applyFill="1" applyBorder="1" applyAlignment="1" applyProtection="1">
      <alignment horizontal="center" vertical="center" wrapText="1"/>
    </xf>
    <xf numFmtId="0" fontId="108" fillId="0" borderId="12" xfId="0" applyFont="1" applyFill="1" applyBorder="1" applyAlignment="1" applyProtection="1">
      <alignment horizontal="center" vertical="center" wrapText="1"/>
    </xf>
    <xf numFmtId="0" fontId="129" fillId="0" borderId="69" xfId="0" applyFont="1" applyFill="1" applyBorder="1" applyAlignment="1" applyProtection="1">
      <alignment horizontal="center" vertical="center" wrapText="1"/>
    </xf>
    <xf numFmtId="0" fontId="109" fillId="0" borderId="94" xfId="0" applyFont="1" applyFill="1" applyBorder="1" applyAlignment="1" applyProtection="1">
      <alignment horizontal="center" vertical="center" wrapText="1"/>
    </xf>
    <xf numFmtId="164" fontId="109" fillId="0" borderId="85" xfId="1" applyFont="1" applyFill="1" applyBorder="1" applyAlignment="1" applyProtection="1">
      <alignment horizontal="center" vertical="center" wrapText="1"/>
    </xf>
    <xf numFmtId="0" fontId="109" fillId="0" borderId="85" xfId="0" applyFont="1" applyFill="1" applyBorder="1" applyAlignment="1" applyProtection="1">
      <alignment horizontal="center" vertical="center" wrapText="1"/>
    </xf>
    <xf numFmtId="0" fontId="109" fillId="0" borderId="96" xfId="0" applyFont="1" applyFill="1" applyBorder="1" applyAlignment="1" applyProtection="1">
      <alignment horizontal="center" vertical="center" wrapText="1"/>
    </xf>
    <xf numFmtId="0" fontId="108" fillId="0" borderId="4" xfId="0" applyFont="1" applyFill="1" applyBorder="1" applyAlignment="1" applyProtection="1">
      <alignment horizontal="center" vertical="center" wrapText="1"/>
    </xf>
    <xf numFmtId="0" fontId="109" fillId="0" borderId="114" xfId="0" applyFont="1" applyFill="1" applyBorder="1" applyAlignment="1" applyProtection="1">
      <alignment horizontal="center" vertical="center" wrapText="1"/>
    </xf>
    <xf numFmtId="0" fontId="120" fillId="0" borderId="92" xfId="0" applyNumberFormat="1" applyFont="1" applyFill="1" applyBorder="1" applyAlignment="1" applyProtection="1">
      <alignment horizontal="center" vertical="center" wrapText="1"/>
    </xf>
    <xf numFmtId="164" fontId="29" fillId="0" borderId="3" xfId="1" applyFont="1" applyFill="1" applyBorder="1" applyAlignment="1" applyProtection="1">
      <alignment horizontal="center" vertical="center" wrapText="1"/>
    </xf>
    <xf numFmtId="0" fontId="120" fillId="0" borderId="3" xfId="0" applyNumberFormat="1" applyFont="1" applyFill="1" applyBorder="1" applyAlignment="1" applyProtection="1">
      <alignment horizontal="center" vertical="center" wrapText="1"/>
    </xf>
    <xf numFmtId="164" fontId="120" fillId="0" borderId="3" xfId="1" applyFont="1" applyFill="1" applyBorder="1" applyAlignment="1" applyProtection="1">
      <alignment horizontal="center" vertical="center" wrapText="1"/>
    </xf>
    <xf numFmtId="0" fontId="120" fillId="0" borderId="12" xfId="0" applyNumberFormat="1" applyFont="1" applyFill="1" applyBorder="1" applyAlignment="1" applyProtection="1">
      <alignment horizontal="center" vertical="center" wrapText="1"/>
    </xf>
    <xf numFmtId="0" fontId="109" fillId="0" borderId="71" xfId="0" applyFont="1" applyFill="1" applyBorder="1" applyAlignment="1" applyProtection="1">
      <alignment horizontal="center" vertical="center" wrapText="1"/>
    </xf>
    <xf numFmtId="0" fontId="120" fillId="0" borderId="93" xfId="0" applyNumberFormat="1" applyFont="1" applyFill="1" applyBorder="1" applyAlignment="1" applyProtection="1">
      <alignment horizontal="center" vertical="center" wrapText="1"/>
    </xf>
    <xf numFmtId="164" fontId="120" fillId="0" borderId="1" xfId="1" applyFont="1" applyFill="1" applyBorder="1" applyAlignment="1" applyProtection="1">
      <alignment horizontal="center" vertical="center" wrapText="1"/>
    </xf>
    <xf numFmtId="0" fontId="120" fillId="0" borderId="1" xfId="0" applyNumberFormat="1" applyFont="1" applyFill="1" applyBorder="1" applyAlignment="1" applyProtection="1">
      <alignment horizontal="center" vertical="center" wrapText="1"/>
    </xf>
    <xf numFmtId="0" fontId="120" fillId="0" borderId="4" xfId="0" applyNumberFormat="1" applyFont="1" applyFill="1" applyBorder="1" applyAlignment="1" applyProtection="1">
      <alignment horizontal="center" vertical="center" wrapText="1"/>
    </xf>
    <xf numFmtId="0" fontId="108" fillId="0" borderId="96" xfId="0" applyFont="1" applyFill="1" applyBorder="1" applyAlignment="1" applyProtection="1">
      <alignment horizontal="center" vertical="center" wrapText="1"/>
    </xf>
    <xf numFmtId="0" fontId="109" fillId="0" borderId="174" xfId="0" applyFont="1" applyFill="1" applyBorder="1" applyAlignment="1" applyProtection="1">
      <alignment horizontal="center" vertical="center" wrapText="1"/>
    </xf>
    <xf numFmtId="0" fontId="120" fillId="0" borderId="147" xfId="0" applyNumberFormat="1" applyFont="1" applyFill="1" applyBorder="1" applyAlignment="1" applyProtection="1">
      <alignment horizontal="center" vertical="center" wrapText="1"/>
    </xf>
    <xf numFmtId="164" fontId="120" fillId="0" borderId="28" xfId="1" applyFont="1" applyFill="1" applyBorder="1" applyAlignment="1" applyProtection="1">
      <alignment horizontal="center" vertical="center" wrapText="1"/>
    </xf>
    <xf numFmtId="0" fontId="120" fillId="0" borderId="28" xfId="0" applyNumberFormat="1" applyFont="1" applyFill="1" applyBorder="1" applyAlignment="1" applyProtection="1">
      <alignment horizontal="center" vertical="center" wrapText="1"/>
    </xf>
    <xf numFmtId="0" fontId="120" fillId="0" borderId="149" xfId="0" applyNumberFormat="1" applyFont="1" applyFill="1" applyBorder="1" applyAlignment="1" applyProtection="1">
      <alignment horizontal="center" vertical="center" wrapText="1"/>
    </xf>
    <xf numFmtId="9" fontId="118" fillId="0" borderId="12" xfId="20" applyFont="1" applyFill="1" applyBorder="1" applyAlignment="1" applyProtection="1">
      <alignment horizontal="center" vertical="center" wrapText="1"/>
    </xf>
    <xf numFmtId="9" fontId="118" fillId="0" borderId="0" xfId="20" applyFont="1" applyFill="1" applyBorder="1" applyAlignment="1" applyProtection="1">
      <alignment vertical="center" wrapText="1"/>
    </xf>
    <xf numFmtId="0" fontId="118" fillId="0" borderId="175" xfId="0" applyFont="1" applyFill="1" applyBorder="1" applyAlignment="1" applyProtection="1">
      <alignment horizontal="center" vertical="center" wrapText="1"/>
    </xf>
    <xf numFmtId="0" fontId="120" fillId="0" borderId="94" xfId="0" applyNumberFormat="1" applyFont="1" applyFill="1" applyBorder="1" applyAlignment="1" applyProtection="1">
      <alignment horizontal="center" vertical="center" wrapText="1"/>
    </xf>
    <xf numFmtId="164" fontId="120" fillId="0" borderId="85" xfId="1" applyFont="1" applyFill="1" applyBorder="1" applyAlignment="1" applyProtection="1">
      <alignment horizontal="center" vertical="center" wrapText="1"/>
    </xf>
    <xf numFmtId="0" fontId="120" fillId="0" borderId="85" xfId="0" applyNumberFormat="1" applyFont="1" applyFill="1" applyBorder="1" applyAlignment="1" applyProtection="1">
      <alignment horizontal="center" vertical="center" wrapText="1"/>
    </xf>
    <xf numFmtId="0" fontId="120" fillId="0" borderId="96" xfId="0" applyNumberFormat="1" applyFont="1" applyFill="1" applyBorder="1" applyAlignment="1" applyProtection="1">
      <alignment horizontal="center" vertical="center" wrapText="1"/>
    </xf>
    <xf numFmtId="9" fontId="130" fillId="0" borderId="4" xfId="20" applyFont="1" applyFill="1" applyBorder="1" applyAlignment="1" applyProtection="1">
      <alignment horizontal="center" vertical="center" wrapText="1"/>
    </xf>
    <xf numFmtId="9" fontId="130" fillId="0" borderId="0" xfId="20" applyFont="1" applyFill="1" applyBorder="1" applyAlignment="1" applyProtection="1">
      <alignment vertical="center" wrapText="1"/>
    </xf>
    <xf numFmtId="1" fontId="130" fillId="0" borderId="4" xfId="20" applyNumberFormat="1" applyFont="1" applyFill="1" applyBorder="1" applyAlignment="1" applyProtection="1">
      <alignment horizontal="center" vertical="center" wrapText="1"/>
    </xf>
    <xf numFmtId="1" fontId="130" fillId="0" borderId="0" xfId="20" applyNumberFormat="1" applyFont="1" applyFill="1" applyBorder="1" applyAlignment="1" applyProtection="1">
      <alignment vertical="center" wrapText="1"/>
    </xf>
    <xf numFmtId="9" fontId="118" fillId="0" borderId="4" xfId="20" applyFont="1" applyFill="1" applyBorder="1" applyAlignment="1" applyProtection="1">
      <alignment horizontal="center" vertical="center" wrapText="1"/>
    </xf>
    <xf numFmtId="0" fontId="131" fillId="0" borderId="0" xfId="0" applyFont="1" applyFill="1" applyBorder="1" applyAlignment="1" applyProtection="1">
      <alignment vertical="center" wrapText="1"/>
    </xf>
    <xf numFmtId="164" fontId="131" fillId="0" borderId="0" xfId="1" applyFont="1" applyFill="1" applyBorder="1" applyAlignment="1" applyProtection="1">
      <alignment vertical="center" wrapText="1"/>
    </xf>
    <xf numFmtId="0" fontId="132" fillId="0" borderId="4" xfId="0" applyFont="1" applyFill="1" applyBorder="1" applyAlignment="1" applyProtection="1">
      <alignment horizontal="center" vertical="center" wrapText="1"/>
    </xf>
    <xf numFmtId="0" fontId="131" fillId="0" borderId="11" xfId="0" applyFont="1" applyFill="1" applyBorder="1" applyAlignment="1" applyProtection="1">
      <alignment vertical="center" wrapText="1"/>
    </xf>
    <xf numFmtId="0" fontId="132" fillId="0" borderId="96" xfId="0" applyNumberFormat="1" applyFont="1" applyFill="1" applyBorder="1" applyAlignment="1" applyProtection="1">
      <alignment horizontal="center" vertical="center" wrapText="1"/>
    </xf>
    <xf numFmtId="0" fontId="132" fillId="0" borderId="0" xfId="0" applyNumberFormat="1" applyFont="1" applyFill="1" applyBorder="1" applyAlignment="1" applyProtection="1">
      <alignment vertical="center" wrapText="1"/>
    </xf>
    <xf numFmtId="9" fontId="118" fillId="0" borderId="12" xfId="0" applyNumberFormat="1" applyFont="1" applyFill="1" applyBorder="1" applyAlignment="1" applyProtection="1">
      <alignment horizontal="center" vertical="center" wrapText="1"/>
    </xf>
    <xf numFmtId="9" fontId="118" fillId="0" borderId="0" xfId="0" applyNumberFormat="1" applyFont="1" applyFill="1" applyBorder="1" applyAlignment="1" applyProtection="1">
      <alignment vertical="center" wrapText="1"/>
    </xf>
    <xf numFmtId="0" fontId="118" fillId="0" borderId="156" xfId="0" applyFont="1" applyFill="1" applyBorder="1" applyAlignment="1" applyProtection="1">
      <alignment horizontal="center" vertical="center" wrapText="1"/>
    </xf>
    <xf numFmtId="0" fontId="118" fillId="0" borderId="0" xfId="0" applyFont="1" applyFill="1" applyBorder="1" applyAlignment="1" applyProtection="1">
      <alignment vertical="center" wrapText="1"/>
    </xf>
    <xf numFmtId="3" fontId="133" fillId="3" borderId="28" xfId="0" applyNumberFormat="1" applyFont="1" applyFill="1" applyBorder="1" applyAlignment="1" applyProtection="1">
      <alignment horizontal="center" vertical="center" wrapText="1"/>
      <protection locked="0"/>
    </xf>
    <xf numFmtId="9" fontId="133" fillId="3" borderId="28" xfId="19" applyFont="1" applyFill="1" applyBorder="1" applyAlignment="1" applyProtection="1">
      <alignment horizontal="center" vertical="center" wrapText="1"/>
      <protection locked="0"/>
    </xf>
    <xf numFmtId="0" fontId="123" fillId="0" borderId="28" xfId="0" applyFont="1" applyFill="1" applyBorder="1" applyAlignment="1" applyProtection="1">
      <alignment horizontal="center" vertical="center" wrapText="1"/>
      <protection locked="0"/>
    </xf>
    <xf numFmtId="164" fontId="123" fillId="0" borderId="28" xfId="1" applyFont="1" applyFill="1" applyBorder="1" applyAlignment="1" applyProtection="1">
      <alignment horizontal="center" vertical="center" wrapText="1"/>
      <protection locked="0"/>
    </xf>
    <xf numFmtId="164" fontId="125" fillId="0" borderId="1" xfId="1" applyFont="1" applyFill="1" applyBorder="1" applyAlignment="1" applyProtection="1">
      <alignment horizontal="center" vertical="center" wrapText="1"/>
      <protection locked="0"/>
    </xf>
    <xf numFmtId="0" fontId="12" fillId="29" borderId="71" xfId="0" applyFont="1" applyFill="1" applyBorder="1" applyAlignment="1" applyProtection="1">
      <alignment horizontal="center" vertical="center" wrapText="1"/>
      <protection locked="0"/>
    </xf>
    <xf numFmtId="0" fontId="15" fillId="4" borderId="1" xfId="0" applyNumberFormat="1" applyFont="1" applyFill="1" applyBorder="1" applyAlignment="1" applyProtection="1">
      <alignment vertical="center" wrapText="1"/>
    </xf>
    <xf numFmtId="165" fontId="116" fillId="0" borderId="0" xfId="1" applyNumberFormat="1" applyFont="1" applyBorder="1" applyAlignment="1">
      <alignment horizontal="center" vertical="center"/>
    </xf>
    <xf numFmtId="164" fontId="18" fillId="0" borderId="0" xfId="1" applyFont="1" applyFill="1" applyBorder="1" applyAlignment="1" applyProtection="1">
      <alignment vertical="center" wrapText="1"/>
      <protection locked="0"/>
    </xf>
    <xf numFmtId="164" fontId="18" fillId="30" borderId="0" xfId="1" applyFont="1" applyFill="1" applyBorder="1" applyAlignment="1" applyProtection="1">
      <alignment horizontal="center" vertical="center" wrapText="1"/>
      <protection locked="0"/>
    </xf>
    <xf numFmtId="0" fontId="12" fillId="30" borderId="0" xfId="0" applyFont="1" applyFill="1" applyBorder="1" applyAlignment="1" applyProtection="1">
      <alignment horizontal="center" vertical="center" wrapText="1"/>
      <protection locked="0"/>
    </xf>
    <xf numFmtId="164" fontId="12" fillId="0" borderId="0" xfId="1" applyFont="1" applyFill="1" applyBorder="1" applyAlignment="1" applyProtection="1">
      <alignment vertical="center" wrapText="1"/>
      <protection locked="0"/>
    </xf>
    <xf numFmtId="165" fontId="116" fillId="0" borderId="0" xfId="1" applyNumberFormat="1" applyFont="1" applyFill="1" applyBorder="1" applyAlignment="1">
      <alignment horizontal="center" vertical="center"/>
    </xf>
    <xf numFmtId="0" fontId="64" fillId="0" borderId="168" xfId="17" applyFont="1" applyFill="1" applyBorder="1"/>
    <xf numFmtId="0" fontId="66" fillId="0" borderId="168" xfId="17" applyFont="1" applyFill="1" applyBorder="1"/>
    <xf numFmtId="43" fontId="29" fillId="0" borderId="167" xfId="10" applyFont="1" applyFill="1" applyBorder="1"/>
    <xf numFmtId="43" fontId="29" fillId="0" borderId="16" xfId="10" applyFont="1" applyFill="1" applyBorder="1"/>
    <xf numFmtId="0" fontId="2" fillId="0" borderId="168" xfId="9" applyFont="1" applyFill="1" applyBorder="1">
      <alignment vertical="center"/>
    </xf>
    <xf numFmtId="0" fontId="29" fillId="0" borderId="168" xfId="9" applyFont="1" applyFill="1" applyBorder="1">
      <alignment vertical="center"/>
    </xf>
    <xf numFmtId="43" fontId="29" fillId="0" borderId="16" xfId="9" applyNumberFormat="1" applyFont="1" applyFill="1" applyBorder="1">
      <alignment vertical="center"/>
    </xf>
    <xf numFmtId="43" fontId="29" fillId="0" borderId="1" xfId="9" applyNumberFormat="1" applyFont="1" applyFill="1" applyBorder="1">
      <alignment vertical="center"/>
    </xf>
    <xf numFmtId="0" fontId="23" fillId="0" borderId="168" xfId="9" applyFont="1" applyFill="1" applyBorder="1">
      <alignment vertical="center"/>
    </xf>
    <xf numFmtId="0" fontId="109" fillId="0" borderId="168" xfId="9" applyFont="1" applyFill="1" applyBorder="1">
      <alignment vertical="center"/>
    </xf>
    <xf numFmtId="43" fontId="109" fillId="0" borderId="168" xfId="9" applyNumberFormat="1" applyFont="1" applyFill="1" applyBorder="1">
      <alignment vertical="center"/>
    </xf>
    <xf numFmtId="43" fontId="109" fillId="0" borderId="13" xfId="9" applyNumberFormat="1" applyFont="1" applyFill="1" applyBorder="1">
      <alignment vertical="center"/>
    </xf>
    <xf numFmtId="0" fontId="64" fillId="0" borderId="168" xfId="9" applyFont="1" applyFill="1" applyBorder="1">
      <alignment vertical="center"/>
    </xf>
    <xf numFmtId="0" fontId="66" fillId="0" borderId="168" xfId="9" applyFont="1" applyFill="1" applyBorder="1">
      <alignment vertical="center"/>
    </xf>
    <xf numFmtId="43" fontId="29" fillId="0" borderId="167" xfId="9" applyNumberFormat="1" applyFont="1" applyFill="1" applyBorder="1">
      <alignment vertical="center"/>
    </xf>
    <xf numFmtId="0" fontId="2" fillId="0" borderId="176" xfId="9" applyFont="1" applyFill="1" applyBorder="1">
      <alignment vertical="center"/>
    </xf>
    <xf numFmtId="43" fontId="29" fillId="0" borderId="177" xfId="9" applyNumberFormat="1" applyFont="1" applyFill="1" applyBorder="1">
      <alignment vertical="center"/>
    </xf>
    <xf numFmtId="43" fontId="109" fillId="0" borderId="167" xfId="9" applyNumberFormat="1" applyFont="1" applyFill="1" applyBorder="1">
      <alignment vertical="center"/>
    </xf>
    <xf numFmtId="43" fontId="109" fillId="0" borderId="16" xfId="9" applyNumberFormat="1" applyFont="1" applyFill="1" applyBorder="1">
      <alignment vertical="center"/>
    </xf>
    <xf numFmtId="0" fontId="2" fillId="0" borderId="178" xfId="9" applyFont="1" applyFill="1" applyBorder="1">
      <alignment vertical="center"/>
    </xf>
    <xf numFmtId="43" fontId="29" fillId="0" borderId="179" xfId="9" applyNumberFormat="1" applyFont="1" applyFill="1" applyBorder="1">
      <alignment vertical="center"/>
    </xf>
    <xf numFmtId="43" fontId="29" fillId="0" borderId="0" xfId="9" applyNumberFormat="1" applyFont="1" applyFill="1" applyBorder="1">
      <alignment vertical="center"/>
    </xf>
    <xf numFmtId="0" fontId="23" fillId="0" borderId="180" xfId="9" applyFont="1" applyFill="1" applyBorder="1">
      <alignment vertical="center"/>
    </xf>
    <xf numFmtId="43" fontId="109" fillId="0" borderId="181" xfId="9" applyNumberFormat="1" applyFont="1" applyFill="1" applyBorder="1">
      <alignment vertical="center"/>
    </xf>
    <xf numFmtId="43" fontId="109" fillId="0" borderId="182" xfId="9" applyNumberFormat="1" applyFont="1" applyFill="1" applyBorder="1">
      <alignment vertical="center"/>
    </xf>
    <xf numFmtId="0" fontId="23" fillId="0" borderId="183" xfId="9" applyFont="1" applyFill="1" applyBorder="1">
      <alignment vertical="center"/>
    </xf>
    <xf numFmtId="0" fontId="29" fillId="0" borderId="184" xfId="9" applyFont="1" applyFill="1" applyBorder="1">
      <alignment vertical="center"/>
    </xf>
    <xf numFmtId="0" fontId="29" fillId="0" borderId="54" xfId="9" applyFont="1" applyFill="1" applyBorder="1">
      <alignment vertical="center"/>
    </xf>
    <xf numFmtId="0" fontId="23" fillId="0" borderId="185" xfId="9" applyFont="1" applyFill="1" applyBorder="1">
      <alignment vertical="center"/>
    </xf>
    <xf numFmtId="43" fontId="109" fillId="0" borderId="186" xfId="9" applyNumberFormat="1" applyFont="1" applyFill="1" applyBorder="1">
      <alignment vertical="center"/>
    </xf>
    <xf numFmtId="43" fontId="109" fillId="0" borderId="187" xfId="9" applyNumberFormat="1" applyFont="1" applyFill="1" applyBorder="1">
      <alignment vertical="center"/>
    </xf>
    <xf numFmtId="0" fontId="107" fillId="0" borderId="97" xfId="13" applyFont="1" applyFill="1" applyBorder="1" applyAlignment="1">
      <alignment vertical="center"/>
    </xf>
    <xf numFmtId="0" fontId="107" fillId="0" borderId="54" xfId="13" applyFont="1" applyFill="1" applyBorder="1" applyAlignment="1">
      <alignment vertical="center"/>
    </xf>
    <xf numFmtId="43" fontId="12" fillId="3" borderId="75" xfId="0" applyNumberFormat="1" applyFont="1" applyFill="1" applyBorder="1" applyAlignment="1" applyProtection="1">
      <alignment horizontal="left" vertical="center" wrapText="1"/>
      <protection locked="0"/>
    </xf>
    <xf numFmtId="4" fontId="13" fillId="4" borderId="1" xfId="0" applyNumberFormat="1" applyFont="1" applyFill="1" applyBorder="1" applyAlignment="1" applyProtection="1">
      <alignment horizontal="center"/>
    </xf>
    <xf numFmtId="4" fontId="13" fillId="3" borderId="0" xfId="0" applyNumberFormat="1" applyFont="1" applyFill="1" applyBorder="1" applyAlignment="1" applyProtection="1"/>
    <xf numFmtId="4" fontId="13" fillId="3" borderId="0" xfId="0" applyNumberFormat="1" applyFont="1" applyFill="1" applyBorder="1" applyAlignment="1" applyProtection="1">
      <alignment horizontal="center"/>
    </xf>
    <xf numFmtId="43" fontId="12" fillId="0" borderId="75" xfId="0" applyNumberFormat="1" applyFont="1" applyFill="1" applyBorder="1" applyAlignment="1" applyProtection="1">
      <alignment horizontal="left" vertical="center"/>
    </xf>
    <xf numFmtId="3" fontId="2" fillId="22" borderId="1" xfId="0" applyNumberFormat="1" applyFont="1" applyFill="1" applyBorder="1" applyAlignment="1" applyProtection="1">
      <alignment horizontal="center" vertical="center"/>
      <protection locked="0"/>
    </xf>
    <xf numFmtId="0" fontId="12" fillId="22" borderId="13" xfId="0" applyFont="1" applyFill="1" applyBorder="1" applyAlignment="1" applyProtection="1">
      <alignment horizontal="left" vertical="center" wrapText="1" indent="1"/>
      <protection locked="0"/>
    </xf>
    <xf numFmtId="0" fontId="12" fillId="22" borderId="1" xfId="0" applyFont="1" applyFill="1" applyBorder="1" applyAlignment="1" applyProtection="1">
      <alignment horizontal="center" vertical="center" wrapText="1"/>
      <protection locked="0"/>
    </xf>
    <xf numFmtId="0" fontId="12" fillId="22" borderId="13" xfId="0" applyFont="1" applyFill="1" applyBorder="1" applyAlignment="1" applyProtection="1">
      <alignment horizontal="center" vertical="center" wrapText="1"/>
      <protection locked="0"/>
    </xf>
    <xf numFmtId="0" fontId="2" fillId="22" borderId="1" xfId="0" applyFont="1" applyFill="1" applyBorder="1" applyAlignment="1" applyProtection="1">
      <alignment horizontal="center" vertical="center"/>
      <protection locked="0"/>
    </xf>
    <xf numFmtId="9" fontId="12" fillId="22" borderId="13" xfId="19" applyFont="1" applyFill="1" applyBorder="1" applyAlignment="1" applyProtection="1">
      <alignment horizontal="center" vertical="center"/>
      <protection locked="0"/>
    </xf>
    <xf numFmtId="0" fontId="12" fillId="22" borderId="0" xfId="0" applyFont="1" applyFill="1" applyAlignment="1" applyProtection="1">
      <alignment vertical="center"/>
    </xf>
    <xf numFmtId="0" fontId="0" fillId="22" borderId="0" xfId="0" applyFill="1" applyAlignment="1" applyProtection="1">
      <alignment vertical="center"/>
    </xf>
    <xf numFmtId="3" fontId="2" fillId="0" borderId="1" xfId="13" applyNumberFormat="1" applyFont="1" applyFill="1" applyBorder="1" applyAlignment="1" applyProtection="1">
      <alignment horizontal="center" vertical="center"/>
      <protection locked="0"/>
    </xf>
    <xf numFmtId="0" fontId="12" fillId="0" borderId="4" xfId="0" applyFont="1" applyFill="1" applyBorder="1" applyAlignment="1" applyProtection="1">
      <alignment horizontal="left" vertical="center" wrapText="1"/>
      <protection locked="0"/>
    </xf>
    <xf numFmtId="0" fontId="5" fillId="3" borderId="0" xfId="0" applyFont="1" applyFill="1" applyProtection="1"/>
    <xf numFmtId="0" fontId="4" fillId="3" borderId="0" xfId="0" applyFont="1" applyFill="1" applyAlignment="1" applyProtection="1">
      <alignment horizontal="left" vertical="top" wrapText="1"/>
    </xf>
    <xf numFmtId="0" fontId="21" fillId="3" borderId="0" xfId="0" applyFont="1" applyFill="1" applyAlignment="1" applyProtection="1">
      <alignment horizontal="center" wrapText="1"/>
    </xf>
    <xf numFmtId="0" fontId="19" fillId="3" borderId="0" xfId="0" applyFont="1" applyFill="1" applyAlignment="1" applyProtection="1">
      <alignment wrapText="1"/>
    </xf>
    <xf numFmtId="0" fontId="9" fillId="3" borderId="0" xfId="0" applyFont="1" applyFill="1" applyAlignment="1" applyProtection="1">
      <alignment horizontal="center" vertical="top" wrapText="1"/>
    </xf>
    <xf numFmtId="0" fontId="12" fillId="0" borderId="75" xfId="0" applyFont="1" applyFill="1" applyBorder="1" applyAlignment="1" applyProtection="1">
      <alignment horizontal="left" vertical="center" wrapText="1" indent="1"/>
      <protection locked="0"/>
    </xf>
    <xf numFmtId="0" fontId="12" fillId="0" borderId="157" xfId="0" applyFont="1" applyFill="1" applyBorder="1" applyAlignment="1" applyProtection="1">
      <alignment horizontal="left" vertical="center" wrapText="1" indent="1"/>
      <protection locked="0"/>
    </xf>
    <xf numFmtId="0" fontId="12" fillId="0" borderId="90" xfId="0" applyNumberFormat="1" applyFont="1" applyFill="1" applyBorder="1" applyAlignment="1" applyProtection="1">
      <alignment horizontal="left" vertical="center" wrapText="1" indent="1"/>
      <protection locked="0"/>
    </xf>
    <xf numFmtId="0" fontId="12" fillId="0" borderId="8" xfId="0" applyNumberFormat="1" applyFont="1" applyFill="1" applyBorder="1" applyAlignment="1" applyProtection="1">
      <alignment horizontal="left" vertical="center" wrapText="1" indent="1"/>
      <protection locked="0"/>
    </xf>
    <xf numFmtId="0" fontId="12" fillId="0" borderId="5" xfId="0" applyNumberFormat="1" applyFont="1" applyFill="1" applyBorder="1" applyAlignment="1" applyProtection="1">
      <alignment horizontal="left" vertical="center" wrapText="1" indent="1"/>
      <protection locked="0"/>
    </xf>
    <xf numFmtId="0" fontId="12" fillId="0" borderId="13" xfId="0" applyNumberFormat="1" applyFont="1" applyFill="1" applyBorder="1" applyAlignment="1" applyProtection="1">
      <alignment horizontal="left" vertical="center" wrapText="1" indent="1"/>
      <protection locked="0"/>
    </xf>
    <xf numFmtId="0" fontId="12" fillId="0" borderId="16" xfId="0" applyNumberFormat="1" applyFont="1" applyFill="1" applyBorder="1" applyAlignment="1" applyProtection="1">
      <alignment horizontal="left" vertical="center" wrapText="1" indent="1"/>
      <protection locked="0"/>
    </xf>
    <xf numFmtId="0" fontId="12" fillId="0" borderId="6" xfId="0" applyNumberFormat="1" applyFont="1" applyFill="1" applyBorder="1" applyAlignment="1" applyProtection="1">
      <alignment horizontal="left" vertical="center" wrapText="1" indent="1"/>
      <protection locked="0"/>
    </xf>
    <xf numFmtId="0" fontId="11" fillId="2" borderId="7"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5" fillId="3" borderId="188" xfId="0" applyFont="1" applyFill="1" applyBorder="1" applyAlignment="1" applyProtection="1">
      <alignment horizontal="left" vertical="center" indent="1"/>
      <protection locked="0"/>
    </xf>
    <xf numFmtId="0" fontId="15" fillId="3" borderId="88" xfId="0" applyFont="1" applyFill="1" applyBorder="1" applyAlignment="1" applyProtection="1">
      <alignment horizontal="left" vertical="center" indent="1"/>
      <protection locked="0"/>
    </xf>
    <xf numFmtId="0" fontId="15" fillId="3" borderId="89" xfId="0" applyFont="1" applyFill="1" applyBorder="1" applyAlignment="1" applyProtection="1">
      <alignment horizontal="left" vertical="center" indent="1"/>
      <protection locked="0"/>
    </xf>
    <xf numFmtId="0" fontId="8" fillId="0" borderId="0" xfId="0" applyFont="1" applyBorder="1" applyAlignment="1" applyProtection="1">
      <alignment horizontal="left" vertical="center" wrapText="1"/>
    </xf>
    <xf numFmtId="0" fontId="13" fillId="5" borderId="147" xfId="0" applyFont="1" applyFill="1" applyBorder="1" applyAlignment="1" applyProtection="1">
      <alignment horizontal="center" vertical="center" wrapText="1"/>
    </xf>
    <xf numFmtId="0" fontId="13" fillId="5" borderId="189"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xf>
    <xf numFmtId="0" fontId="10" fillId="4" borderId="91" xfId="0" applyFont="1" applyFill="1" applyBorder="1" applyAlignment="1" applyProtection="1">
      <alignment horizontal="center" vertical="center"/>
    </xf>
    <xf numFmtId="0" fontId="13" fillId="5" borderId="28" xfId="0" applyFont="1" applyFill="1" applyBorder="1" applyAlignment="1" applyProtection="1">
      <alignment horizontal="center" vertical="center" wrapText="1"/>
    </xf>
    <xf numFmtId="0" fontId="13" fillId="5" borderId="190" xfId="0" applyFont="1" applyFill="1" applyBorder="1" applyAlignment="1" applyProtection="1">
      <alignment horizontal="center" vertical="center" wrapText="1"/>
    </xf>
    <xf numFmtId="0" fontId="13" fillId="5" borderId="23" xfId="0" applyFont="1" applyFill="1" applyBorder="1" applyAlignment="1" applyProtection="1">
      <alignment horizontal="center" vertical="center" wrapText="1"/>
    </xf>
    <xf numFmtId="0" fontId="13" fillId="5" borderId="25" xfId="0" applyFont="1" applyFill="1" applyBorder="1" applyAlignment="1" applyProtection="1">
      <alignment horizontal="center" vertical="center" wrapText="1"/>
    </xf>
    <xf numFmtId="0" fontId="36" fillId="0" borderId="27" xfId="0" applyFont="1" applyBorder="1" applyAlignment="1" applyProtection="1">
      <alignment vertical="center" wrapText="1"/>
    </xf>
    <xf numFmtId="0" fontId="36" fillId="0" borderId="148" xfId="0" applyFont="1" applyBorder="1" applyAlignment="1" applyProtection="1">
      <alignment vertical="center" wrapText="1"/>
    </xf>
    <xf numFmtId="0" fontId="36" fillId="0" borderId="191" xfId="0" applyFont="1" applyBorder="1" applyAlignment="1" applyProtection="1">
      <alignment vertical="center" wrapText="1"/>
    </xf>
    <xf numFmtId="0" fontId="36" fillId="0" borderId="10" xfId="0" applyFont="1" applyBorder="1" applyAlignment="1" applyProtection="1">
      <alignment vertical="center" wrapText="1"/>
    </xf>
    <xf numFmtId="0" fontId="36" fillId="0" borderId="142" xfId="0" applyFont="1" applyBorder="1" applyAlignment="1" applyProtection="1">
      <alignment vertical="center" wrapText="1"/>
    </xf>
    <xf numFmtId="0" fontId="12" fillId="0" borderId="150" xfId="0" applyFont="1" applyFill="1" applyBorder="1" applyAlignment="1" applyProtection="1">
      <alignment horizontal="left" vertical="center" indent="1"/>
      <protection locked="0"/>
    </xf>
    <xf numFmtId="0" fontId="12" fillId="0" borderId="88" xfId="0" applyFont="1" applyFill="1" applyBorder="1" applyAlignment="1" applyProtection="1">
      <alignment horizontal="left" vertical="center" indent="1"/>
      <protection locked="0"/>
    </xf>
    <xf numFmtId="0" fontId="12" fillId="0" borderId="89" xfId="0" applyFont="1" applyFill="1" applyBorder="1" applyAlignment="1" applyProtection="1">
      <alignment horizontal="left" vertical="center" indent="1"/>
      <protection locked="0"/>
    </xf>
    <xf numFmtId="0" fontId="15" fillId="3" borderId="150" xfId="0" applyFont="1" applyFill="1" applyBorder="1" applyAlignment="1" applyProtection="1">
      <alignment horizontal="left" vertical="center" indent="1"/>
      <protection locked="0"/>
    </xf>
    <xf numFmtId="0" fontId="12" fillId="0" borderId="1" xfId="0" applyNumberFormat="1" applyFont="1" applyFill="1" applyBorder="1" applyAlignment="1" applyProtection="1">
      <alignment horizontal="left" vertical="center" wrapText="1" indent="1"/>
      <protection locked="0"/>
    </xf>
    <xf numFmtId="166" fontId="12" fillId="0" borderId="13" xfId="0" applyNumberFormat="1" applyFont="1" applyFill="1" applyBorder="1" applyAlignment="1" applyProtection="1">
      <alignment horizontal="left" vertical="center" indent="1"/>
      <protection locked="0"/>
    </xf>
    <xf numFmtId="166" fontId="12" fillId="0" borderId="16" xfId="0" applyNumberFormat="1" applyFont="1" applyFill="1" applyBorder="1" applyAlignment="1" applyProtection="1">
      <alignment horizontal="left" vertical="center" indent="1"/>
      <protection locked="0"/>
    </xf>
    <xf numFmtId="166" fontId="12" fillId="0" borderId="70" xfId="0" applyNumberFormat="1" applyFont="1" applyFill="1" applyBorder="1" applyAlignment="1" applyProtection="1">
      <alignment horizontal="left" vertical="center" indent="1"/>
      <protection locked="0"/>
    </xf>
    <xf numFmtId="0" fontId="0" fillId="0" borderId="27"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9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 xfId="0" applyBorder="1" applyAlignment="1" applyProtection="1">
      <alignment horizontal="center" vertical="center" wrapText="1"/>
    </xf>
    <xf numFmtId="0" fontId="12" fillId="0" borderId="1" xfId="0" applyFont="1" applyFill="1" applyBorder="1" applyAlignment="1" applyProtection="1">
      <alignment horizontal="left" vertical="center" wrapText="1" indent="1"/>
      <protection locked="0"/>
    </xf>
    <xf numFmtId="0" fontId="12" fillId="0" borderId="1" xfId="0" applyFont="1" applyBorder="1" applyAlignment="1" applyProtection="1">
      <alignment horizontal="left" vertical="center" wrapText="1" indent="1"/>
      <protection locked="0"/>
    </xf>
    <xf numFmtId="0" fontId="12" fillId="0" borderId="4" xfId="0" applyFont="1" applyBorder="1" applyAlignment="1" applyProtection="1">
      <alignment horizontal="left" vertical="center" wrapText="1" indent="1"/>
      <protection locked="0"/>
    </xf>
    <xf numFmtId="0" fontId="21" fillId="0" borderId="0" xfId="0" applyFont="1" applyAlignment="1" applyProtection="1">
      <alignment horizontal="left" vertical="center" wrapText="1"/>
    </xf>
    <xf numFmtId="0" fontId="11" fillId="2" borderId="76" xfId="0" applyFont="1" applyFill="1" applyBorder="1" applyAlignment="1" applyProtection="1">
      <alignment horizontal="left" vertical="center"/>
    </xf>
    <xf numFmtId="0" fontId="11" fillId="2" borderId="192" xfId="0" applyFont="1" applyFill="1" applyBorder="1" applyAlignment="1" applyProtection="1">
      <alignment horizontal="left" vertical="center"/>
    </xf>
    <xf numFmtId="0" fontId="12" fillId="0" borderId="90" xfId="0" applyFont="1" applyFill="1" applyBorder="1" applyAlignment="1" applyProtection="1">
      <alignment horizontal="left" vertical="center" indent="1"/>
      <protection locked="0"/>
    </xf>
    <xf numFmtId="0" fontId="12" fillId="0" borderId="8" xfId="0" applyFont="1" applyFill="1" applyBorder="1" applyAlignment="1" applyProtection="1">
      <alignment horizontal="left" vertical="center" indent="1"/>
      <protection locked="0"/>
    </xf>
    <xf numFmtId="0" fontId="12" fillId="0" borderId="91" xfId="0" applyFont="1" applyFill="1" applyBorder="1" applyAlignment="1" applyProtection="1">
      <alignment horizontal="left" vertical="center" indent="1"/>
      <protection locked="0"/>
    </xf>
    <xf numFmtId="0" fontId="12" fillId="0" borderId="13" xfId="0" applyFont="1" applyFill="1" applyBorder="1" applyAlignment="1" applyProtection="1">
      <alignment horizontal="left" vertical="center" indent="1"/>
      <protection locked="0"/>
    </xf>
    <xf numFmtId="0" fontId="12" fillId="0" borderId="16" xfId="0" applyFont="1" applyFill="1" applyBorder="1" applyAlignment="1" applyProtection="1">
      <alignment horizontal="left" vertical="center" indent="1"/>
      <protection locked="0"/>
    </xf>
    <xf numFmtId="0" fontId="12" fillId="0" borderId="70" xfId="0" applyFont="1" applyFill="1" applyBorder="1" applyAlignment="1" applyProtection="1">
      <alignment horizontal="left" vertical="center" indent="1"/>
      <protection locked="0"/>
    </xf>
    <xf numFmtId="0" fontId="11" fillId="2" borderId="11" xfId="0" applyFont="1" applyFill="1" applyBorder="1" applyAlignment="1" applyProtection="1">
      <alignment horizontal="left" vertical="center"/>
    </xf>
    <xf numFmtId="0" fontId="11" fillId="2" borderId="9" xfId="0" applyFont="1" applyFill="1" applyBorder="1" applyAlignment="1" applyProtection="1">
      <alignment horizontal="left" vertical="center"/>
    </xf>
    <xf numFmtId="0" fontId="13" fillId="0" borderId="13" xfId="0" applyFont="1" applyBorder="1" applyAlignment="1" applyProtection="1">
      <alignment horizontal="left" vertical="center" indent="1"/>
      <protection locked="0"/>
    </xf>
    <xf numFmtId="0" fontId="13" fillId="0" borderId="16" xfId="0" applyFont="1" applyBorder="1" applyAlignment="1" applyProtection="1">
      <alignment horizontal="left" vertical="center" indent="1"/>
      <protection locked="0"/>
    </xf>
    <xf numFmtId="0" fontId="13" fillId="0" borderId="70" xfId="0" applyFont="1" applyBorder="1" applyAlignment="1" applyProtection="1">
      <alignment horizontal="left" vertical="center" indent="1"/>
      <protection locked="0"/>
    </xf>
    <xf numFmtId="0" fontId="12" fillId="0" borderId="13"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left" vertical="center" wrapText="1" indent="1"/>
      <protection locked="0"/>
    </xf>
    <xf numFmtId="0" fontId="12" fillId="0" borderId="70" xfId="0" applyFont="1" applyFill="1" applyBorder="1" applyAlignment="1" applyProtection="1">
      <alignment horizontal="left" vertical="center" wrapText="1" indent="1"/>
      <protection locked="0"/>
    </xf>
    <xf numFmtId="0" fontId="12" fillId="0" borderId="13" xfId="0" applyFont="1" applyFill="1" applyBorder="1" applyAlignment="1" applyProtection="1">
      <alignment vertical="center" wrapText="1"/>
      <protection locked="0"/>
    </xf>
    <xf numFmtId="0" fontId="12" fillId="0" borderId="16"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75" fillId="0" borderId="98" xfId="0" applyFont="1" applyFill="1" applyBorder="1" applyAlignment="1" applyProtection="1">
      <alignment vertical="center" wrapText="1"/>
      <protection locked="0"/>
    </xf>
    <xf numFmtId="0" fontId="2" fillId="0" borderId="103" xfId="0" applyFont="1" applyFill="1" applyBorder="1" applyAlignment="1" applyProtection="1">
      <alignment vertical="center"/>
      <protection locked="0"/>
    </xf>
    <xf numFmtId="0" fontId="2" fillId="0" borderId="123" xfId="0" applyFont="1" applyFill="1" applyBorder="1" applyAlignment="1" applyProtection="1">
      <alignment vertical="center"/>
      <protection locked="0"/>
    </xf>
    <xf numFmtId="0" fontId="12" fillId="0" borderId="0" xfId="0" applyFont="1" applyBorder="1" applyAlignment="1" applyProtection="1">
      <alignment horizontal="left" vertical="center" indent="1"/>
    </xf>
    <xf numFmtId="0" fontId="13" fillId="0" borderId="0" xfId="0" applyFont="1" applyFill="1" applyBorder="1" applyAlignment="1" applyProtection="1">
      <alignment vertical="center" wrapText="1"/>
    </xf>
    <xf numFmtId="0" fontId="0" fillId="0" borderId="0" xfId="0" applyFill="1" applyBorder="1" applyAlignment="1" applyProtection="1">
      <alignment vertical="center"/>
    </xf>
    <xf numFmtId="0" fontId="12" fillId="4" borderId="13" xfId="0" applyFont="1" applyFill="1" applyBorder="1" applyAlignment="1" applyProtection="1">
      <alignment horizontal="center" vertical="center" wrapText="1"/>
      <protection locked="0"/>
    </xf>
    <xf numFmtId="0" fontId="12" fillId="4" borderId="16" xfId="0" applyFont="1" applyFill="1" applyBorder="1" applyAlignment="1" applyProtection="1">
      <alignment horizontal="center" vertical="center" wrapText="1"/>
      <protection locked="0"/>
    </xf>
    <xf numFmtId="0" fontId="12" fillId="4" borderId="70"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left" vertical="center"/>
    </xf>
    <xf numFmtId="0" fontId="2" fillId="0" borderId="75" xfId="0" applyFont="1" applyBorder="1" applyAlignment="1" applyProtection="1">
      <alignment horizontal="center" vertical="center"/>
    </xf>
    <xf numFmtId="0" fontId="13" fillId="4" borderId="90" xfId="0" applyFont="1" applyFill="1" applyBorder="1" applyAlignment="1" applyProtection="1">
      <alignment horizontal="left" vertical="center" indent="1"/>
    </xf>
    <xf numFmtId="0" fontId="13" fillId="4" borderId="8" xfId="0" applyFont="1" applyFill="1" applyBorder="1" applyAlignment="1" applyProtection="1">
      <alignment horizontal="left" vertical="center" indent="1"/>
    </xf>
    <xf numFmtId="0" fontId="13" fillId="4" borderId="91" xfId="0" applyFont="1" applyFill="1" applyBorder="1" applyAlignment="1" applyProtection="1">
      <alignment horizontal="left" vertical="center" indent="1"/>
    </xf>
    <xf numFmtId="0" fontId="14" fillId="4" borderId="121" xfId="0" applyFont="1" applyFill="1" applyBorder="1" applyAlignment="1" applyProtection="1">
      <alignment vertical="center"/>
    </xf>
    <xf numFmtId="0" fontId="0" fillId="0" borderId="8" xfId="0" applyBorder="1" applyAlignment="1" applyProtection="1">
      <alignment vertical="center"/>
    </xf>
    <xf numFmtId="0" fontId="0" fillId="0" borderId="49" xfId="0" applyBorder="1" applyAlignment="1" applyProtection="1">
      <alignment vertical="center"/>
    </xf>
    <xf numFmtId="0" fontId="0" fillId="0" borderId="91" xfId="0" applyBorder="1" applyAlignment="1" applyProtection="1">
      <alignment vertical="center"/>
    </xf>
    <xf numFmtId="0" fontId="0" fillId="0" borderId="75" xfId="0" applyBorder="1" applyAlignment="1" applyProtection="1">
      <alignment horizontal="center" vertical="center"/>
    </xf>
    <xf numFmtId="0" fontId="13" fillId="5" borderId="27" xfId="0" applyFont="1" applyFill="1" applyBorder="1" applyAlignment="1" applyProtection="1">
      <alignment horizontal="center" vertical="center" wrapText="1"/>
    </xf>
    <xf numFmtId="0" fontId="13" fillId="5" borderId="54"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97" xfId="0" applyBorder="1" applyAlignment="1" applyProtection="1">
      <alignment horizontal="center" vertical="center" wrapText="1"/>
    </xf>
    <xf numFmtId="0" fontId="15" fillId="4" borderId="150" xfId="0" applyFont="1" applyFill="1" applyBorder="1" applyAlignment="1" applyProtection="1">
      <alignment horizontal="left" vertical="center" indent="1"/>
    </xf>
    <xf numFmtId="0" fontId="15" fillId="4" borderId="88" xfId="0" applyFont="1" applyFill="1" applyBorder="1" applyAlignment="1" applyProtection="1">
      <alignment horizontal="left" vertical="center" indent="1"/>
    </xf>
    <xf numFmtId="0" fontId="15" fillId="4" borderId="89" xfId="0" applyFont="1" applyFill="1" applyBorder="1" applyAlignment="1" applyProtection="1">
      <alignment horizontal="left" vertical="center" indent="1"/>
    </xf>
    <xf numFmtId="0" fontId="0" fillId="0" borderId="54" xfId="0" applyBorder="1" applyAlignment="1" applyProtection="1">
      <alignment horizontal="center" vertical="center" wrapText="1"/>
    </xf>
    <xf numFmtId="0" fontId="0" fillId="0" borderId="75" xfId="0" applyBorder="1" applyAlignment="1" applyProtection="1">
      <alignment horizontal="center" vertical="center" wrapText="1"/>
    </xf>
    <xf numFmtId="0" fontId="13" fillId="5" borderId="148" xfId="0" applyFont="1" applyFill="1" applyBorder="1" applyAlignment="1" applyProtection="1">
      <alignment horizontal="center" vertical="center" wrapText="1"/>
    </xf>
    <xf numFmtId="0" fontId="13" fillId="5" borderId="97" xfId="0" applyFont="1" applyFill="1" applyBorder="1" applyAlignment="1" applyProtection="1">
      <alignment horizontal="center" vertical="center" wrapText="1"/>
    </xf>
    <xf numFmtId="0" fontId="13" fillId="5" borderId="154" xfId="0" applyFont="1" applyFill="1" applyBorder="1" applyAlignment="1" applyProtection="1">
      <alignment horizontal="center" vertical="center" wrapText="1"/>
    </xf>
    <xf numFmtId="0" fontId="12" fillId="22" borderId="13" xfId="0" applyFont="1" applyFill="1" applyBorder="1" applyAlignment="1" applyProtection="1">
      <alignment horizontal="left" vertical="center" wrapText="1" indent="1"/>
      <protection locked="0"/>
    </xf>
    <xf numFmtId="0" fontId="12" fillId="22" borderId="16" xfId="0" applyFont="1" applyFill="1" applyBorder="1" applyAlignment="1" applyProtection="1">
      <alignment horizontal="left" vertical="center" wrapText="1" indent="1"/>
      <protection locked="0"/>
    </xf>
    <xf numFmtId="0" fontId="12" fillId="22" borderId="70" xfId="0" applyFont="1" applyFill="1" applyBorder="1" applyAlignment="1" applyProtection="1">
      <alignment horizontal="left" vertical="center" wrapText="1" indent="1"/>
      <protection locked="0"/>
    </xf>
    <xf numFmtId="0" fontId="7" fillId="0" borderId="49" xfId="0" applyFont="1" applyFill="1" applyBorder="1" applyAlignment="1" applyProtection="1">
      <alignment horizontal="center"/>
    </xf>
    <xf numFmtId="0" fontId="13" fillId="5" borderId="90"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13" fillId="5" borderId="91" xfId="0" applyFont="1" applyFill="1" applyBorder="1" applyAlignment="1" applyProtection="1">
      <alignment horizontal="center" vertical="center" wrapText="1"/>
    </xf>
    <xf numFmtId="0" fontId="4" fillId="0" borderId="100" xfId="0" applyFont="1" applyFill="1" applyBorder="1" applyAlignment="1" applyProtection="1">
      <alignment horizontal="left" vertical="center" wrapText="1" indent="1"/>
      <protection locked="0"/>
    </xf>
    <xf numFmtId="0" fontId="4" fillId="0" borderId="27" xfId="0" applyFont="1" applyFill="1" applyBorder="1" applyAlignment="1" applyProtection="1">
      <alignment horizontal="left" vertical="center" wrapText="1" indent="1"/>
      <protection locked="0"/>
    </xf>
    <xf numFmtId="0" fontId="4" fillId="0" borderId="25" xfId="0" applyFont="1" applyFill="1" applyBorder="1" applyAlignment="1" applyProtection="1">
      <alignment horizontal="left" vertical="center" wrapText="1" indent="1"/>
      <protection locked="0"/>
    </xf>
    <xf numFmtId="0" fontId="12" fillId="0" borderId="23" xfId="0" applyFont="1" applyFill="1" applyBorder="1" applyAlignment="1" applyProtection="1">
      <alignment horizontal="left" vertical="center" wrapText="1" indent="1"/>
      <protection locked="0"/>
    </xf>
    <xf numFmtId="0" fontId="12" fillId="0" borderId="27" xfId="0" applyFont="1" applyFill="1" applyBorder="1" applyAlignment="1" applyProtection="1">
      <alignment horizontal="left" vertical="center" wrapText="1" indent="1"/>
      <protection locked="0"/>
    </xf>
    <xf numFmtId="0" fontId="12" fillId="0" borderId="148" xfId="0" applyFont="1" applyFill="1" applyBorder="1" applyAlignment="1" applyProtection="1">
      <alignment horizontal="left" vertical="center" wrapText="1" indent="1"/>
      <protection locked="0"/>
    </xf>
    <xf numFmtId="0" fontId="13" fillId="5" borderId="121" xfId="0"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9"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12" fillId="0" borderId="13"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70" xfId="0" applyFont="1" applyFill="1" applyBorder="1" applyAlignment="1" applyProtection="1">
      <alignment horizontal="left" vertical="center" wrapText="1"/>
      <protection locked="0"/>
    </xf>
    <xf numFmtId="0" fontId="12" fillId="0" borderId="193" xfId="0" applyFont="1"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16"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12" fillId="0" borderId="188" xfId="0" applyFont="1" applyFill="1" applyBorder="1" applyAlignment="1" applyProtection="1">
      <alignment horizontal="left" vertical="center" wrapText="1"/>
      <protection locked="0"/>
    </xf>
    <xf numFmtId="0" fontId="0" fillId="0" borderId="88" xfId="0" applyFill="1" applyBorder="1" applyAlignment="1" applyProtection="1">
      <alignment horizontal="left" vertical="center" wrapText="1"/>
      <protection locked="0"/>
    </xf>
    <xf numFmtId="0" fontId="0" fillId="0" borderId="88" xfId="0" applyFill="1" applyBorder="1" applyAlignment="1" applyProtection="1">
      <alignment vertical="center" wrapText="1"/>
      <protection locked="0"/>
    </xf>
    <xf numFmtId="0" fontId="0" fillId="0" borderId="152" xfId="0" applyFill="1" applyBorder="1" applyAlignment="1" applyProtection="1">
      <alignment vertical="center" wrapText="1"/>
      <protection locked="0"/>
    </xf>
    <xf numFmtId="0" fontId="12" fillId="0" borderId="150" xfId="0" applyFont="1" applyFill="1" applyBorder="1" applyAlignment="1" applyProtection="1">
      <alignment horizontal="left" vertical="center" wrapText="1"/>
      <protection locked="0"/>
    </xf>
    <xf numFmtId="0" fontId="12" fillId="0" borderId="88" xfId="0" applyFont="1" applyFill="1" applyBorder="1" applyAlignment="1" applyProtection="1">
      <alignment horizontal="left" vertical="center" wrapText="1"/>
      <protection locked="0"/>
    </xf>
    <xf numFmtId="0" fontId="12" fillId="0" borderId="89"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left" vertical="center" wrapText="1" indent="1"/>
      <protection locked="0"/>
    </xf>
    <xf numFmtId="0" fontId="12" fillId="0" borderId="117" xfId="0" applyFont="1" applyFill="1" applyBorder="1" applyAlignment="1" applyProtection="1">
      <alignment horizontal="left" vertical="center" wrapText="1" indent="1"/>
      <protection locked="0"/>
    </xf>
    <xf numFmtId="0" fontId="13" fillId="5" borderId="3" xfId="0" applyFont="1" applyFill="1" applyBorder="1" applyAlignment="1" applyProtection="1">
      <alignment horizontal="center" vertical="center" wrapText="1"/>
    </xf>
    <xf numFmtId="0" fontId="0" fillId="5" borderId="3" xfId="0" applyFill="1" applyBorder="1" applyAlignment="1" applyProtection="1"/>
    <xf numFmtId="0" fontId="0" fillId="5" borderId="12" xfId="0" applyFill="1" applyBorder="1" applyAlignment="1" applyProtection="1"/>
    <xf numFmtId="0" fontId="13" fillId="5" borderId="92" xfId="0" applyFont="1"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0" fontId="74" fillId="0" borderId="10" xfId="0" applyFont="1" applyFill="1" applyBorder="1" applyAlignment="1" applyProtection="1">
      <alignment horizontal="left" vertical="center"/>
    </xf>
    <xf numFmtId="0" fontId="73" fillId="0" borderId="10" xfId="0" applyFont="1" applyFill="1" applyBorder="1" applyAlignment="1" applyProtection="1">
      <alignment horizontal="left" vertical="center"/>
    </xf>
    <xf numFmtId="0" fontId="13" fillId="0" borderId="90"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91" xfId="0" applyFont="1" applyFill="1" applyBorder="1" applyAlignment="1" applyProtection="1">
      <alignment horizontal="center" vertical="center" wrapText="1"/>
    </xf>
    <xf numFmtId="0" fontId="12" fillId="0" borderId="16" xfId="0" applyFont="1" applyFill="1" applyBorder="1" applyAlignment="1" applyProtection="1">
      <alignment horizontal="left" wrapText="1"/>
      <protection locked="0"/>
    </xf>
    <xf numFmtId="0" fontId="12" fillId="0" borderId="70" xfId="0" applyFont="1" applyFill="1" applyBorder="1" applyAlignment="1" applyProtection="1">
      <alignment horizontal="left" wrapText="1"/>
      <protection locked="0"/>
    </xf>
    <xf numFmtId="0" fontId="12" fillId="0" borderId="6" xfId="0" applyFont="1" applyFill="1" applyBorder="1" applyAlignment="1" applyProtection="1">
      <alignment horizontal="left" vertical="center" wrapText="1"/>
      <protection locked="0"/>
    </xf>
    <xf numFmtId="0" fontId="13" fillId="0" borderId="193"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left" vertical="center" wrapText="1"/>
      <protection locked="0"/>
    </xf>
    <xf numFmtId="0" fontId="13" fillId="0" borderId="70" xfId="0" applyFont="1" applyFill="1" applyBorder="1" applyAlignment="1" applyProtection="1">
      <alignment horizontal="left" vertical="center" wrapText="1"/>
      <protection locked="0"/>
    </xf>
    <xf numFmtId="0" fontId="12" fillId="0" borderId="85" xfId="0" applyFont="1" applyFill="1" applyBorder="1" applyAlignment="1" applyProtection="1">
      <alignment vertical="center" wrapText="1"/>
      <protection locked="0"/>
    </xf>
    <xf numFmtId="0" fontId="12" fillId="0" borderId="85" xfId="0" applyFont="1" applyFill="1" applyBorder="1" applyAlignment="1" applyProtection="1">
      <alignment wrapText="1"/>
      <protection locked="0"/>
    </xf>
    <xf numFmtId="0" fontId="12" fillId="0" borderId="96" xfId="0" applyFont="1" applyFill="1" applyBorder="1" applyAlignment="1" applyProtection="1">
      <alignment wrapText="1"/>
      <protection locked="0"/>
    </xf>
    <xf numFmtId="0" fontId="13" fillId="0" borderId="94" xfId="0" applyFont="1" applyFill="1" applyBorder="1" applyAlignment="1" applyProtection="1">
      <alignment horizontal="left" vertical="center" wrapText="1"/>
    </xf>
    <xf numFmtId="0" fontId="23" fillId="0" borderId="85" xfId="0" applyFont="1" applyFill="1" applyBorder="1" applyAlignment="1" applyProtection="1">
      <alignment horizontal="left" vertical="center" wrapText="1"/>
    </xf>
    <xf numFmtId="0" fontId="17" fillId="2" borderId="11"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3" fillId="0" borderId="93"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12" fillId="0" borderId="1" xfId="0" applyFont="1" applyFill="1" applyBorder="1" applyAlignment="1" applyProtection="1">
      <alignment vertical="center" wrapText="1"/>
      <protection locked="0"/>
    </xf>
    <xf numFmtId="0" fontId="12" fillId="0" borderId="1" xfId="0" applyFont="1" applyFill="1" applyBorder="1" applyAlignment="1" applyProtection="1">
      <alignment wrapText="1"/>
      <protection locked="0"/>
    </xf>
    <xf numFmtId="0" fontId="12" fillId="0" borderId="4" xfId="0" applyFont="1" applyFill="1" applyBorder="1" applyAlignment="1" applyProtection="1">
      <alignment wrapText="1"/>
      <protection locked="0"/>
    </xf>
    <xf numFmtId="0" fontId="52" fillId="0" borderId="11" xfId="0" applyFont="1" applyFill="1" applyBorder="1" applyAlignment="1" applyProtection="1">
      <alignment horizontal="left" wrapText="1"/>
    </xf>
    <xf numFmtId="0" fontId="17" fillId="0" borderId="11"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3" fillId="0" borderId="121"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21" fillId="0" borderId="0" xfId="0" applyFont="1" applyAlignment="1" applyProtection="1">
      <alignment horizontal="left" wrapText="1"/>
    </xf>
    <xf numFmtId="0" fontId="6" fillId="0" borderId="0" xfId="0" applyFont="1" applyFill="1" applyBorder="1" applyAlignment="1" applyProtection="1">
      <alignment horizontal="left" vertical="center"/>
    </xf>
    <xf numFmtId="0" fontId="13" fillId="0" borderId="93"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13" fillId="5" borderId="5" xfId="0" applyFont="1" applyFill="1" applyBorder="1" applyAlignment="1" applyProtection="1">
      <alignment horizontal="center" vertical="center"/>
    </xf>
    <xf numFmtId="0" fontId="13" fillId="4" borderId="121" xfId="0" applyFont="1" applyFill="1" applyBorder="1" applyAlignment="1" applyProtection="1">
      <alignment horizontal="left" vertical="center" indent="1"/>
    </xf>
    <xf numFmtId="0" fontId="15" fillId="4" borderId="93" xfId="0" applyFont="1" applyFill="1" applyBorder="1" applyAlignment="1" applyProtection="1">
      <alignment horizontal="left" vertical="center" indent="1"/>
    </xf>
    <xf numFmtId="0" fontId="15" fillId="4" borderId="1" xfId="0" applyFont="1" applyFill="1" applyBorder="1" applyAlignment="1" applyProtection="1">
      <alignment horizontal="left" vertical="center" indent="1"/>
    </xf>
    <xf numFmtId="0" fontId="15" fillId="4" borderId="4" xfId="0" applyFont="1" applyFill="1" applyBorder="1" applyAlignment="1" applyProtection="1">
      <alignment horizontal="left" vertical="center" indent="1"/>
    </xf>
    <xf numFmtId="0" fontId="15" fillId="4" borderId="188" xfId="0" applyFont="1" applyFill="1" applyBorder="1" applyAlignment="1" applyProtection="1">
      <alignment horizontal="center" vertical="center"/>
    </xf>
    <xf numFmtId="0" fontId="15" fillId="4" borderId="88" xfId="0" applyFont="1" applyFill="1" applyBorder="1" applyAlignment="1" applyProtection="1">
      <alignment horizontal="center" vertical="center"/>
    </xf>
    <xf numFmtId="0" fontId="15" fillId="4" borderId="89" xfId="0" applyFont="1" applyFill="1" applyBorder="1" applyAlignment="1" applyProtection="1">
      <alignment horizontal="center" vertical="center"/>
    </xf>
    <xf numFmtId="0" fontId="15" fillId="6" borderId="13" xfId="0" applyFont="1" applyFill="1" applyBorder="1" applyAlignment="1" applyProtection="1">
      <alignment horizontal="left" vertical="center"/>
    </xf>
    <xf numFmtId="0" fontId="15" fillId="6" borderId="6" xfId="0" applyFont="1" applyFill="1" applyBorder="1" applyAlignment="1" applyProtection="1">
      <alignment horizontal="left" vertical="center"/>
    </xf>
    <xf numFmtId="0" fontId="15" fillId="0" borderId="152" xfId="0" applyFont="1" applyFill="1" applyBorder="1" applyAlignment="1" applyProtection="1">
      <alignment horizontal="left" vertical="center" wrapText="1"/>
      <protection locked="0"/>
    </xf>
    <xf numFmtId="0" fontId="12" fillId="0" borderId="94" xfId="0" applyFont="1" applyFill="1" applyBorder="1" applyAlignment="1" applyProtection="1">
      <alignment horizontal="left" vertical="center" wrapText="1"/>
    </xf>
    <xf numFmtId="0" fontId="12" fillId="0" borderId="85" xfId="0" applyFont="1" applyFill="1" applyBorder="1" applyAlignment="1" applyProtection="1">
      <alignment horizontal="left" vertical="center" wrapText="1"/>
    </xf>
    <xf numFmtId="0" fontId="13" fillId="5" borderId="5" xfId="0" applyFont="1" applyFill="1" applyBorder="1" applyAlignment="1" applyProtection="1">
      <alignment horizontal="center" vertical="center" wrapText="1"/>
    </xf>
    <xf numFmtId="167" fontId="13" fillId="6" borderId="13" xfId="0" applyNumberFormat="1" applyFont="1" applyFill="1" applyBorder="1" applyAlignment="1" applyProtection="1">
      <alignment horizontal="right" vertical="center" wrapText="1"/>
    </xf>
    <xf numFmtId="167" fontId="13" fillId="6" borderId="6" xfId="0" applyNumberFormat="1" applyFont="1" applyFill="1" applyBorder="1" applyAlignment="1" applyProtection="1">
      <alignment horizontal="right" vertical="center" wrapText="1"/>
    </xf>
    <xf numFmtId="4" fontId="12" fillId="0" borderId="13" xfId="0" applyNumberFormat="1"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93"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12" fillId="0" borderId="193"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2" fillId="0" borderId="188" xfId="0" applyFont="1" applyFill="1" applyBorder="1" applyAlignment="1" applyProtection="1">
      <alignment horizontal="left" vertical="center" wrapText="1"/>
    </xf>
    <xf numFmtId="0" fontId="12" fillId="0" borderId="152" xfId="0" applyFont="1" applyFill="1" applyBorder="1" applyAlignment="1" applyProtection="1">
      <alignment horizontal="left" vertical="center" wrapText="1"/>
    </xf>
    <xf numFmtId="0" fontId="12" fillId="0" borderId="152" xfId="0" applyFont="1" applyFill="1" applyBorder="1" applyAlignment="1" applyProtection="1">
      <alignment horizontal="left" vertical="center" wrapText="1"/>
      <protection locked="0"/>
    </xf>
    <xf numFmtId="0" fontId="13" fillId="0" borderId="193"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5" fillId="0" borderId="188" xfId="0" applyFont="1" applyFill="1" applyBorder="1" applyAlignment="1" applyProtection="1">
      <alignment horizontal="left" vertical="center"/>
    </xf>
    <xf numFmtId="0" fontId="15" fillId="0" borderId="152" xfId="0" applyFont="1" applyFill="1" applyBorder="1" applyAlignment="1" applyProtection="1">
      <alignment horizontal="left" vertical="center"/>
    </xf>
    <xf numFmtId="0" fontId="13" fillId="0" borderId="193" xfId="0" applyFont="1" applyFill="1" applyBorder="1" applyAlignment="1" applyProtection="1">
      <alignment horizontal="left" vertical="center"/>
    </xf>
    <xf numFmtId="0" fontId="13" fillId="0" borderId="6" xfId="0" applyFont="1" applyFill="1" applyBorder="1" applyAlignment="1" applyProtection="1">
      <alignment horizontal="left" vertical="center"/>
    </xf>
    <xf numFmtId="0" fontId="15" fillId="0" borderId="193"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23" fillId="10" borderId="28" xfId="0" applyFont="1" applyFill="1" applyBorder="1" applyAlignment="1" applyProtection="1">
      <alignment horizontal="center" wrapText="1"/>
    </xf>
    <xf numFmtId="0" fontId="0" fillId="0" borderId="75" xfId="0" applyBorder="1" applyAlignment="1" applyProtection="1">
      <alignment horizontal="center"/>
    </xf>
    <xf numFmtId="0" fontId="23" fillId="3" borderId="0" xfId="0" applyFont="1" applyFill="1" applyBorder="1" applyAlignment="1" applyProtection="1">
      <alignment horizontal="left"/>
    </xf>
    <xf numFmtId="0" fontId="2" fillId="0" borderId="111" xfId="0" applyFont="1" applyFill="1" applyBorder="1" applyAlignment="1" applyProtection="1">
      <alignment horizontal="left" indent="1"/>
    </xf>
    <xf numFmtId="0" fontId="2" fillId="0" borderId="84" xfId="0" applyFont="1" applyFill="1" applyBorder="1" applyAlignment="1" applyProtection="1">
      <alignment horizontal="left" indent="1"/>
    </xf>
    <xf numFmtId="0" fontId="2" fillId="0" borderId="143" xfId="0" applyFont="1" applyFill="1" applyBorder="1" applyAlignment="1" applyProtection="1">
      <alignment horizontal="left" indent="1"/>
    </xf>
    <xf numFmtId="0" fontId="2" fillId="0" borderId="111" xfId="0" applyFont="1" applyBorder="1" applyAlignment="1" applyProtection="1">
      <alignment horizontal="left" indent="1"/>
    </xf>
    <xf numFmtId="0" fontId="2" fillId="0" borderId="84" xfId="0" applyFont="1" applyBorder="1" applyAlignment="1" applyProtection="1">
      <alignment horizontal="left" indent="1"/>
    </xf>
    <xf numFmtId="0" fontId="2" fillId="0" borderId="143" xfId="0" applyFont="1" applyBorder="1" applyAlignment="1" applyProtection="1">
      <alignment horizontal="left" indent="1"/>
    </xf>
    <xf numFmtId="0" fontId="23" fillId="3" borderId="0" xfId="0" applyFont="1" applyFill="1" applyAlignment="1" applyProtection="1">
      <alignment horizontal="center" wrapText="1"/>
    </xf>
    <xf numFmtId="0" fontId="13" fillId="4" borderId="105" xfId="0" applyFont="1" applyFill="1" applyBorder="1" applyAlignment="1" applyProtection="1">
      <alignment horizontal="center"/>
    </xf>
    <xf numFmtId="0" fontId="13" fillId="4" borderId="103" xfId="0" applyFont="1" applyFill="1" applyBorder="1" applyAlignment="1" applyProtection="1">
      <alignment horizontal="center"/>
    </xf>
    <xf numFmtId="0" fontId="0" fillId="0" borderId="123" xfId="0" applyBorder="1" applyAlignment="1" applyProtection="1"/>
    <xf numFmtId="0" fontId="13" fillId="4" borderId="98" xfId="0" applyFont="1" applyFill="1" applyBorder="1" applyAlignment="1" applyProtection="1">
      <alignment horizontal="center"/>
    </xf>
    <xf numFmtId="0" fontId="23" fillId="10" borderId="93" xfId="0" applyFont="1" applyFill="1" applyBorder="1" applyAlignment="1" applyProtection="1">
      <alignment horizontal="left"/>
    </xf>
    <xf numFmtId="0" fontId="23" fillId="10" borderId="1" xfId="0" applyFont="1" applyFill="1" applyBorder="1" applyAlignment="1" applyProtection="1">
      <alignment horizontal="left"/>
    </xf>
    <xf numFmtId="0" fontId="0" fillId="4" borderId="1" xfId="0" applyFill="1" applyBorder="1" applyAlignment="1" applyProtection="1">
      <alignment horizontal="left" wrapText="1" indent="1"/>
    </xf>
    <xf numFmtId="0" fontId="0" fillId="4" borderId="4" xfId="0" applyFill="1" applyBorder="1" applyAlignment="1" applyProtection="1">
      <alignment horizontal="left" wrapText="1" indent="1"/>
    </xf>
    <xf numFmtId="0" fontId="23" fillId="10" borderId="94" xfId="0" applyFont="1" applyFill="1" applyBorder="1" applyAlignment="1" applyProtection="1">
      <alignment horizontal="left"/>
    </xf>
    <xf numFmtId="0" fontId="23" fillId="10" borderId="85" xfId="0" applyFont="1" applyFill="1" applyBorder="1" applyAlignment="1" applyProtection="1">
      <alignment horizontal="left"/>
    </xf>
    <xf numFmtId="0" fontId="0" fillId="3" borderId="85" xfId="0" applyFill="1" applyBorder="1" applyAlignment="1" applyProtection="1">
      <alignment horizontal="left" wrapText="1" indent="1"/>
      <protection locked="0"/>
    </xf>
    <xf numFmtId="0" fontId="0" fillId="3" borderId="96" xfId="0" applyFill="1" applyBorder="1" applyAlignment="1" applyProtection="1">
      <alignment horizontal="left" wrapText="1" indent="1"/>
      <protection locked="0"/>
    </xf>
    <xf numFmtId="0" fontId="2" fillId="0" borderId="194" xfId="0" applyFont="1" applyBorder="1" applyAlignment="1" applyProtection="1">
      <alignment horizontal="left" indent="1"/>
    </xf>
    <xf numFmtId="0" fontId="2" fillId="0" borderId="129" xfId="0" applyFont="1" applyBorder="1" applyAlignment="1" applyProtection="1">
      <alignment horizontal="left" indent="1"/>
    </xf>
    <xf numFmtId="0" fontId="2" fillId="0" borderId="195" xfId="0" applyFont="1" applyBorder="1" applyAlignment="1" applyProtection="1">
      <alignment horizontal="left" indent="1"/>
    </xf>
    <xf numFmtId="0" fontId="13" fillId="10" borderId="0" xfId="0" applyFont="1" applyFill="1" applyBorder="1" applyAlignment="1" applyProtection="1">
      <alignment horizontal="center"/>
    </xf>
    <xf numFmtId="0" fontId="0" fillId="3" borderId="0" xfId="0" applyFill="1" applyBorder="1" applyAlignment="1" applyProtection="1">
      <alignment horizontal="left" wrapText="1" indent="1"/>
    </xf>
    <xf numFmtId="0" fontId="26" fillId="0" borderId="0" xfId="0" applyFont="1" applyAlignment="1" applyProtection="1">
      <alignment horizontal="left"/>
    </xf>
    <xf numFmtId="0" fontId="23" fillId="10" borderId="92" xfId="0" applyFont="1" applyFill="1" applyBorder="1" applyAlignment="1" applyProtection="1">
      <alignment horizontal="left"/>
    </xf>
    <xf numFmtId="0" fontId="23" fillId="10" borderId="3" xfId="0" applyFont="1" applyFill="1" applyBorder="1" applyAlignment="1" applyProtection="1">
      <alignment horizontal="left"/>
    </xf>
    <xf numFmtId="0" fontId="0" fillId="4" borderId="3" xfId="0" applyNumberFormat="1" applyFill="1" applyBorder="1" applyAlignment="1" applyProtection="1">
      <alignment horizontal="left" wrapText="1" indent="1"/>
    </xf>
    <xf numFmtId="0" fontId="0" fillId="4" borderId="12" xfId="0" applyNumberFormat="1" applyFill="1" applyBorder="1" applyAlignment="1" applyProtection="1">
      <alignment horizontal="left" wrapText="1" indent="1"/>
    </xf>
    <xf numFmtId="3" fontId="64" fillId="3" borderId="0" xfId="0" applyNumberFormat="1" applyFont="1" applyFill="1" applyAlignment="1" applyProtection="1">
      <alignment horizontal="center" wrapText="1"/>
    </xf>
    <xf numFmtId="0" fontId="0" fillId="0" borderId="0" xfId="0" applyAlignment="1" applyProtection="1">
      <alignment horizontal="center" wrapText="1"/>
    </xf>
    <xf numFmtId="0" fontId="65" fillId="4" borderId="98" xfId="0" applyFont="1" applyFill="1" applyBorder="1" applyAlignment="1" applyProtection="1">
      <alignment horizontal="left"/>
    </xf>
    <xf numFmtId="0" fontId="65" fillId="4" borderId="103" xfId="0" applyFont="1" applyFill="1" applyBorder="1" applyAlignment="1" applyProtection="1">
      <alignment horizontal="left"/>
    </xf>
    <xf numFmtId="0" fontId="65" fillId="4" borderId="123" xfId="0" applyFont="1" applyFill="1" applyBorder="1" applyAlignment="1" applyProtection="1">
      <alignment horizontal="left"/>
    </xf>
    <xf numFmtId="0" fontId="2" fillId="0" borderId="198" xfId="0" applyFont="1" applyBorder="1" applyAlignment="1" applyProtection="1">
      <alignment horizontal="left" indent="1"/>
    </xf>
    <xf numFmtId="0" fontId="2" fillId="0" borderId="138" xfId="0" applyFont="1" applyBorder="1" applyAlignment="1" applyProtection="1">
      <alignment horizontal="left" indent="1"/>
    </xf>
    <xf numFmtId="0" fontId="2" fillId="0" borderId="197" xfId="0" applyFont="1" applyBorder="1" applyAlignment="1" applyProtection="1">
      <alignment horizontal="left" indent="1"/>
    </xf>
    <xf numFmtId="0" fontId="66" fillId="11" borderId="98" xfId="0" applyFont="1" applyFill="1" applyBorder="1" applyAlignment="1" applyProtection="1">
      <alignment horizontal="center" vertical="center"/>
    </xf>
    <xf numFmtId="0" fontId="66" fillId="11" borderId="103" xfId="0" applyFont="1" applyFill="1" applyBorder="1" applyAlignment="1" applyProtection="1">
      <alignment horizontal="center" vertical="center"/>
    </xf>
    <xf numFmtId="0" fontId="23" fillId="11" borderId="98" xfId="0" applyFont="1" applyFill="1" applyBorder="1" applyAlignment="1" applyProtection="1">
      <alignment horizontal="right" vertical="center"/>
    </xf>
    <xf numFmtId="0" fontId="0" fillId="0" borderId="103" xfId="0" applyBorder="1" applyAlignment="1" applyProtection="1"/>
    <xf numFmtId="0" fontId="0" fillId="0" borderId="17" xfId="0" applyFill="1" applyBorder="1" applyAlignment="1" applyProtection="1">
      <alignment horizontal="left" vertical="justify" wrapText="1"/>
    </xf>
    <xf numFmtId="0" fontId="0" fillId="0" borderId="0" xfId="0" applyFill="1" applyBorder="1" applyAlignment="1">
      <alignment horizontal="left" vertical="justify" wrapText="1"/>
    </xf>
    <xf numFmtId="0" fontId="0" fillId="0" borderId="9" xfId="0" applyFill="1" applyBorder="1" applyAlignment="1">
      <alignment horizontal="left" vertical="justify" wrapText="1"/>
    </xf>
    <xf numFmtId="0" fontId="0" fillId="0" borderId="17" xfId="0" applyFill="1" applyBorder="1" applyAlignment="1">
      <alignment horizontal="left" vertical="justify" wrapText="1"/>
    </xf>
    <xf numFmtId="0" fontId="0" fillId="0" borderId="97" xfId="0" applyFill="1" applyBorder="1" applyAlignment="1">
      <alignment horizontal="left" vertical="justify" wrapText="1"/>
    </xf>
    <xf numFmtId="0" fontId="0" fillId="0" borderId="54" xfId="0" applyFill="1" applyBorder="1" applyAlignment="1">
      <alignment horizontal="left" vertical="justify" wrapText="1"/>
    </xf>
    <xf numFmtId="0" fontId="0" fillId="0" borderId="199" xfId="0" applyFill="1" applyBorder="1" applyAlignment="1">
      <alignment horizontal="left" vertical="justify" wrapText="1"/>
    </xf>
    <xf numFmtId="0" fontId="13" fillId="4" borderId="7" xfId="0" applyFont="1" applyFill="1" applyBorder="1" applyAlignment="1" applyProtection="1">
      <alignment horizontal="center"/>
    </xf>
    <xf numFmtId="0" fontId="13" fillId="4" borderId="10" xfId="0" applyFont="1" applyFill="1" applyBorder="1" applyAlignment="1" applyProtection="1">
      <alignment horizontal="center"/>
    </xf>
    <xf numFmtId="0" fontId="13" fillId="4" borderId="104" xfId="0" applyFont="1" applyFill="1" applyBorder="1" applyAlignment="1" applyProtection="1">
      <alignment horizontal="center"/>
    </xf>
    <xf numFmtId="0" fontId="0" fillId="3" borderId="17" xfId="0" applyFill="1" applyBorder="1" applyAlignment="1" applyProtection="1">
      <alignment horizontal="left" vertical="justify" wrapText="1"/>
    </xf>
    <xf numFmtId="0" fontId="0" fillId="0" borderId="0" xfId="0" applyBorder="1" applyAlignment="1">
      <alignment horizontal="left" vertical="justify" wrapText="1"/>
    </xf>
    <xf numFmtId="0" fontId="0" fillId="0" borderId="9" xfId="0" applyBorder="1" applyAlignment="1">
      <alignment horizontal="left" vertical="justify" wrapText="1"/>
    </xf>
    <xf numFmtId="0" fontId="0" fillId="0" borderId="17" xfId="0" applyBorder="1" applyAlignment="1">
      <alignment horizontal="left" vertical="justify" wrapText="1"/>
    </xf>
    <xf numFmtId="0" fontId="0" fillId="0" borderId="97" xfId="0" applyBorder="1" applyAlignment="1">
      <alignment horizontal="left" vertical="justify" wrapText="1"/>
    </xf>
    <xf numFmtId="0" fontId="0" fillId="0" borderId="54" xfId="0" applyBorder="1" applyAlignment="1">
      <alignment horizontal="left" vertical="justify" wrapText="1"/>
    </xf>
    <xf numFmtId="0" fontId="0" fillId="0" borderId="199" xfId="0" applyBorder="1" applyAlignment="1">
      <alignment horizontal="left" vertical="justify" wrapText="1"/>
    </xf>
    <xf numFmtId="49" fontId="2" fillId="0" borderId="196" xfId="11" applyNumberFormat="1" applyFont="1" applyBorder="1" applyAlignment="1" applyProtection="1">
      <alignment horizontal="center" wrapText="1"/>
      <protection locked="0"/>
    </xf>
    <xf numFmtId="49" fontId="2" fillId="0" borderId="138" xfId="11" applyNumberFormat="1" applyFont="1" applyBorder="1" applyAlignment="1" applyProtection="1">
      <alignment horizontal="center" wrapText="1"/>
      <protection locked="0"/>
    </xf>
    <xf numFmtId="49" fontId="2" fillId="0" borderId="197" xfId="11" applyNumberFormat="1" applyFont="1" applyBorder="1" applyAlignment="1" applyProtection="1">
      <alignment horizontal="center" wrapText="1"/>
      <protection locked="0"/>
    </xf>
    <xf numFmtId="3" fontId="13" fillId="10" borderId="98" xfId="0" applyNumberFormat="1" applyFont="1" applyFill="1" applyBorder="1" applyAlignment="1" applyProtection="1">
      <alignment horizontal="center" wrapText="1"/>
    </xf>
    <xf numFmtId="3" fontId="13" fillId="10" borderId="103" xfId="0" applyNumberFormat="1" applyFont="1" applyFill="1" applyBorder="1" applyAlignment="1" applyProtection="1">
      <alignment horizontal="center" wrapText="1"/>
    </xf>
    <xf numFmtId="3" fontId="13" fillId="10" borderId="123" xfId="0" applyNumberFormat="1" applyFont="1" applyFill="1" applyBorder="1" applyAlignment="1" applyProtection="1">
      <alignment horizontal="center" wrapText="1"/>
    </xf>
    <xf numFmtId="0" fontId="0" fillId="0" borderId="76" xfId="0" applyNumberFormat="1" applyBorder="1" applyAlignment="1" applyProtection="1">
      <alignment horizontal="left" vertical="top" wrapText="1"/>
      <protection locked="0"/>
    </xf>
    <xf numFmtId="0" fontId="0" fillId="0" borderId="49" xfId="0" applyNumberFormat="1" applyBorder="1" applyAlignment="1" applyProtection="1">
      <alignment horizontal="left" vertical="top" wrapText="1"/>
      <protection locked="0"/>
    </xf>
    <xf numFmtId="0" fontId="0" fillId="0" borderId="87"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17" xfId="0" applyNumberFormat="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42" xfId="0" applyNumberFormat="1" applyBorder="1" applyAlignment="1" applyProtection="1">
      <alignment horizontal="left" vertical="top" wrapText="1"/>
      <protection locked="0"/>
    </xf>
    <xf numFmtId="0" fontId="13" fillId="10" borderId="98" xfId="0" applyFont="1" applyFill="1" applyBorder="1" applyAlignment="1" applyProtection="1">
      <alignment horizontal="center"/>
    </xf>
    <xf numFmtId="0" fontId="13" fillId="10" borderId="103" xfId="0" applyFont="1" applyFill="1" applyBorder="1" applyAlignment="1" applyProtection="1">
      <alignment horizontal="center"/>
    </xf>
    <xf numFmtId="0" fontId="13" fillId="10" borderId="123" xfId="0" applyFont="1" applyFill="1" applyBorder="1" applyAlignment="1" applyProtection="1">
      <alignment horizontal="center"/>
    </xf>
    <xf numFmtId="49" fontId="2" fillId="0" borderId="110" xfId="11" applyNumberFormat="1" applyFont="1" applyBorder="1" applyAlignment="1" applyProtection="1">
      <alignment horizontal="center" wrapText="1"/>
      <protection locked="0"/>
    </xf>
    <xf numFmtId="49" fontId="2" fillId="0" borderId="84" xfId="11" applyNumberFormat="1" applyFont="1" applyBorder="1" applyAlignment="1" applyProtection="1">
      <alignment horizontal="center" wrapText="1"/>
      <protection locked="0"/>
    </xf>
    <xf numFmtId="49" fontId="2" fillId="0" borderId="143" xfId="11" applyNumberFormat="1" applyFont="1" applyBorder="1" applyAlignment="1" applyProtection="1">
      <alignment horizontal="center" wrapText="1"/>
      <protection locked="0"/>
    </xf>
    <xf numFmtId="49" fontId="2" fillId="0" borderId="126" xfId="11" applyNumberFormat="1" applyFont="1" applyBorder="1" applyAlignment="1" applyProtection="1">
      <alignment horizontal="center" wrapText="1"/>
      <protection locked="0"/>
    </xf>
    <xf numFmtId="49" fontId="2" fillId="0" borderId="129" xfId="11" applyNumberFormat="1" applyFont="1" applyBorder="1" applyAlignment="1" applyProtection="1">
      <alignment horizontal="center" wrapText="1"/>
      <protection locked="0"/>
    </xf>
    <xf numFmtId="49" fontId="2" fillId="0" borderId="195" xfId="11" applyNumberFormat="1" applyFont="1" applyBorder="1" applyAlignment="1" applyProtection="1">
      <alignment horizontal="center" wrapText="1"/>
      <protection locked="0"/>
    </xf>
    <xf numFmtId="0" fontId="13" fillId="14" borderId="98" xfId="0" applyFont="1" applyFill="1" applyBorder="1" applyAlignment="1" applyProtection="1">
      <alignment horizontal="center"/>
    </xf>
    <xf numFmtId="0" fontId="13" fillId="14" borderId="103" xfId="0" applyFont="1" applyFill="1" applyBorder="1" applyAlignment="1" applyProtection="1">
      <alignment horizontal="center"/>
    </xf>
    <xf numFmtId="0" fontId="13" fillId="14" borderId="123" xfId="0" applyFont="1" applyFill="1" applyBorder="1" applyAlignment="1" applyProtection="1">
      <alignment horizontal="center"/>
    </xf>
    <xf numFmtId="0" fontId="13" fillId="0" borderId="200" xfId="0" applyFont="1" applyFill="1" applyBorder="1" applyAlignment="1" applyProtection="1">
      <alignment horizontal="center" vertical="center" wrapText="1"/>
    </xf>
    <xf numFmtId="0" fontId="13" fillId="0" borderId="122" xfId="0" applyFont="1" applyFill="1" applyBorder="1" applyAlignment="1" applyProtection="1">
      <alignment horizontal="center" vertical="center" wrapText="1"/>
    </xf>
    <xf numFmtId="0" fontId="13" fillId="0" borderId="156" xfId="0" applyFont="1" applyFill="1" applyBorder="1" applyAlignment="1" applyProtection="1">
      <alignment horizontal="center" vertical="center" wrapText="1"/>
    </xf>
    <xf numFmtId="0" fontId="6" fillId="3" borderId="10" xfId="0" applyFont="1" applyFill="1" applyBorder="1" applyAlignment="1" applyProtection="1">
      <alignment horizontal="left" vertical="center"/>
    </xf>
    <xf numFmtId="0" fontId="12" fillId="0" borderId="98" xfId="0" applyFont="1" applyFill="1" applyBorder="1" applyAlignment="1" applyProtection="1">
      <alignment horizontal="left" vertical="center" wrapText="1"/>
      <protection locked="0"/>
    </xf>
    <xf numFmtId="0" fontId="12" fillId="0" borderId="103" xfId="0" applyFont="1" applyFill="1" applyBorder="1" applyAlignment="1" applyProtection="1">
      <alignment horizontal="left" vertical="center" wrapText="1"/>
      <protection locked="0"/>
    </xf>
    <xf numFmtId="0" fontId="12" fillId="0" borderId="123" xfId="0" applyFont="1" applyFill="1" applyBorder="1" applyAlignment="1" applyProtection="1">
      <alignment horizontal="left" vertical="center" wrapText="1"/>
      <protection locked="0"/>
    </xf>
    <xf numFmtId="0" fontId="13" fillId="0" borderId="121" xfId="0" applyFont="1" applyFill="1" applyBorder="1" applyAlignment="1" applyProtection="1">
      <alignment horizontal="left" vertical="center" wrapText="1"/>
    </xf>
    <xf numFmtId="0" fontId="0" fillId="0" borderId="8" xfId="0" applyFill="1" applyBorder="1" applyProtection="1"/>
    <xf numFmtId="0" fontId="12" fillId="0" borderId="8" xfId="0" applyFont="1" applyFill="1" applyBorder="1" applyAlignment="1" applyProtection="1">
      <alignment horizontal="left" vertical="top" wrapText="1"/>
      <protection locked="0"/>
    </xf>
    <xf numFmtId="0" fontId="12" fillId="0" borderId="91" xfId="0" applyFont="1" applyFill="1" applyBorder="1" applyAlignment="1" applyProtection="1">
      <alignment horizontal="left" vertical="top" wrapText="1"/>
      <protection locked="0"/>
    </xf>
    <xf numFmtId="0" fontId="13" fillId="3" borderId="188" xfId="0" applyFont="1" applyFill="1" applyBorder="1" applyAlignment="1" applyProtection="1">
      <alignment horizontal="left" vertical="center" wrapText="1"/>
    </xf>
    <xf numFmtId="0" fontId="36" fillId="3" borderId="88" xfId="0" applyFont="1" applyFill="1" applyBorder="1" applyProtection="1"/>
    <xf numFmtId="0" fontId="12" fillId="0" borderId="88" xfId="0" applyFont="1" applyFill="1" applyBorder="1" applyAlignment="1" applyProtection="1">
      <alignment vertical="top" wrapText="1"/>
      <protection locked="0"/>
    </xf>
    <xf numFmtId="0" fontId="12" fillId="0" borderId="89" xfId="0" applyFont="1" applyFill="1" applyBorder="1" applyAlignment="1" applyProtection="1">
      <alignment vertical="top" wrapText="1"/>
      <protection locked="0"/>
    </xf>
    <xf numFmtId="0" fontId="13" fillId="3" borderId="10" xfId="0" applyFont="1" applyFill="1" applyBorder="1" applyAlignment="1" applyProtection="1"/>
    <xf numFmtId="0" fontId="12" fillId="0" borderId="23"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97"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21" fillId="0" borderId="53" xfId="0" applyFont="1" applyBorder="1" applyAlignment="1" applyProtection="1">
      <alignment horizontal="left" wrapText="1"/>
    </xf>
    <xf numFmtId="0" fontId="12" fillId="0" borderId="38" xfId="0" applyFont="1" applyFill="1" applyBorder="1" applyAlignment="1" applyProtection="1">
      <alignment horizontal="left" vertical="center" wrapText="1"/>
    </xf>
    <xf numFmtId="0" fontId="17" fillId="2" borderId="98" xfId="0" applyFont="1" applyFill="1" applyBorder="1" applyAlignment="1" applyProtection="1">
      <alignment horizontal="left"/>
    </xf>
    <xf numFmtId="0" fontId="17" fillId="2" borderId="103" xfId="0" applyFont="1" applyFill="1" applyBorder="1" applyAlignment="1" applyProtection="1">
      <alignment horizontal="left"/>
    </xf>
    <xf numFmtId="0" fontId="4" fillId="0" borderId="39" xfId="0" applyFont="1" applyFill="1" applyBorder="1" applyAlignment="1" applyProtection="1">
      <alignment horizontal="left" vertical="center"/>
    </xf>
    <xf numFmtId="0" fontId="9" fillId="0" borderId="50" xfId="0" applyFont="1" applyFill="1" applyBorder="1" applyAlignment="1" applyProtection="1">
      <alignment horizontal="left" vertical="center"/>
    </xf>
    <xf numFmtId="0" fontId="12" fillId="0" borderId="32" xfId="0" applyFont="1" applyFill="1" applyBorder="1" applyAlignment="1" applyProtection="1">
      <alignment horizontal="left"/>
    </xf>
    <xf numFmtId="0" fontId="12" fillId="0" borderId="38" xfId="0" applyFont="1" applyFill="1" applyBorder="1" applyAlignment="1" applyProtection="1">
      <alignment horizontal="left"/>
    </xf>
    <xf numFmtId="0" fontId="12" fillId="0" borderId="48" xfId="0" applyFont="1" applyFill="1" applyBorder="1" applyAlignment="1" applyProtection="1">
      <alignment horizontal="left"/>
    </xf>
    <xf numFmtId="0" fontId="91" fillId="0" borderId="67" xfId="0" applyFont="1" applyBorder="1" applyAlignment="1" applyProtection="1">
      <alignment horizontal="left" vertical="center" wrapText="1" indent="5"/>
    </xf>
    <xf numFmtId="0" fontId="91" fillId="0" borderId="35" xfId="0" applyFont="1" applyBorder="1" applyAlignment="1" applyProtection="1">
      <alignment horizontal="left" vertical="center" wrapText="1" indent="5"/>
    </xf>
    <xf numFmtId="0" fontId="91" fillId="0" borderId="51" xfId="0" applyFont="1" applyBorder="1" applyAlignment="1" applyProtection="1">
      <alignment horizontal="left" vertical="center" wrapText="1" indent="5"/>
    </xf>
    <xf numFmtId="0" fontId="91" fillId="0" borderId="11" xfId="0" applyFont="1" applyBorder="1" applyAlignment="1" applyProtection="1">
      <alignment horizontal="left" vertical="center" wrapText="1" indent="5"/>
    </xf>
    <xf numFmtId="0" fontId="91" fillId="0" borderId="0" xfId="0" applyFont="1" applyBorder="1" applyAlignment="1" applyProtection="1">
      <alignment horizontal="left" vertical="center" wrapText="1" indent="5"/>
    </xf>
    <xf numFmtId="0" fontId="91" fillId="0" borderId="68" xfId="0" applyFont="1" applyBorder="1" applyAlignment="1" applyProtection="1">
      <alignment horizontal="left" vertical="center" wrapText="1" indent="5"/>
    </xf>
    <xf numFmtId="0" fontId="91" fillId="0" borderId="201" xfId="0" applyFont="1" applyBorder="1" applyAlignment="1" applyProtection="1">
      <alignment horizontal="left" vertical="center" wrapText="1" indent="5"/>
    </xf>
    <xf numFmtId="0" fontId="91" fillId="0" borderId="53" xfId="0" applyFont="1" applyBorder="1" applyAlignment="1" applyProtection="1">
      <alignment horizontal="left" vertical="center" wrapText="1" indent="5"/>
    </xf>
    <xf numFmtId="0" fontId="91" fillId="0" borderId="65" xfId="0" applyFont="1" applyBorder="1" applyAlignment="1" applyProtection="1">
      <alignment horizontal="left" vertical="center" wrapText="1" indent="5"/>
    </xf>
    <xf numFmtId="0" fontId="12" fillId="0" borderId="13" xfId="0" applyFont="1" applyBorder="1" applyAlignment="1" applyProtection="1">
      <alignment horizontal="left"/>
      <protection locked="0"/>
    </xf>
    <xf numFmtId="0" fontId="12" fillId="0" borderId="16"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12" fillId="0" borderId="76" xfId="0" applyFont="1" applyBorder="1" applyAlignment="1" applyProtection="1">
      <alignment vertical="top" wrapText="1"/>
      <protection locked="0"/>
    </xf>
    <xf numFmtId="0" fontId="12" fillId="0" borderId="49" xfId="0" applyFont="1" applyBorder="1" applyAlignment="1" applyProtection="1">
      <alignment vertical="top" wrapText="1"/>
      <protection locked="0"/>
    </xf>
    <xf numFmtId="0" fontId="12" fillId="0" borderId="87"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10" xfId="0" applyFont="1" applyBorder="1" applyAlignment="1" applyProtection="1">
      <alignment vertical="top" wrapText="1"/>
      <protection locked="0"/>
    </xf>
    <xf numFmtId="0" fontId="12" fillId="0" borderId="142" xfId="0" applyFont="1" applyBorder="1" applyAlignment="1" applyProtection="1">
      <alignment vertical="top" wrapText="1"/>
      <protection locked="0"/>
    </xf>
    <xf numFmtId="0" fontId="12" fillId="3" borderId="47" xfId="0" quotePrefix="1" applyFont="1" applyFill="1" applyBorder="1" applyAlignment="1" applyProtection="1">
      <alignment horizontal="left" wrapText="1"/>
    </xf>
    <xf numFmtId="0" fontId="12" fillId="3" borderId="35" xfId="0" quotePrefix="1" applyFont="1" applyFill="1" applyBorder="1" applyAlignment="1" applyProtection="1">
      <alignment horizontal="left" wrapText="1"/>
    </xf>
    <xf numFmtId="0" fontId="12" fillId="3" borderId="51" xfId="0" quotePrefix="1" applyFont="1" applyFill="1" applyBorder="1" applyAlignment="1" applyProtection="1">
      <alignment horizontal="left" wrapText="1"/>
    </xf>
    <xf numFmtId="0" fontId="12" fillId="0" borderId="45"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3" borderId="47" xfId="0" applyFont="1" applyFill="1" applyBorder="1" applyAlignment="1" applyProtection="1">
      <alignment horizontal="center"/>
    </xf>
    <xf numFmtId="0" fontId="12" fillId="3" borderId="35" xfId="0" applyFont="1" applyFill="1" applyBorder="1" applyAlignment="1" applyProtection="1">
      <alignment horizontal="center"/>
    </xf>
    <xf numFmtId="0" fontId="15" fillId="4" borderId="98" xfId="0" applyFont="1" applyFill="1" applyBorder="1" applyAlignment="1" applyProtection="1">
      <alignment horizontal="center" vertical="center"/>
    </xf>
    <xf numFmtId="0" fontId="15" fillId="4" borderId="103" xfId="0" applyFont="1" applyFill="1" applyBorder="1" applyAlignment="1" applyProtection="1">
      <alignment horizontal="center" vertical="center"/>
    </xf>
    <xf numFmtId="0" fontId="15" fillId="4" borderId="123" xfId="0" applyFont="1" applyFill="1" applyBorder="1" applyAlignment="1" applyProtection="1">
      <alignment horizontal="center" vertical="center"/>
    </xf>
    <xf numFmtId="0" fontId="12" fillId="0" borderId="27"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3" fillId="0" borderId="0" xfId="0" applyFont="1" applyFill="1" applyBorder="1" applyAlignment="1" applyProtection="1">
      <alignment horizontal="left" wrapText="1"/>
    </xf>
    <xf numFmtId="0" fontId="2" fillId="0" borderId="68" xfId="0" applyFont="1" applyBorder="1" applyAlignment="1">
      <alignment wrapText="1"/>
    </xf>
    <xf numFmtId="0" fontId="17" fillId="2" borderId="123" xfId="0" applyFont="1" applyFill="1" applyBorder="1" applyAlignment="1" applyProtection="1">
      <alignment horizontal="left"/>
    </xf>
    <xf numFmtId="0" fontId="11" fillId="0" borderId="50" xfId="0" applyFont="1" applyFill="1" applyBorder="1" applyAlignment="1" applyProtection="1">
      <alignment horizontal="center"/>
    </xf>
    <xf numFmtId="0" fontId="11" fillId="0" borderId="49" xfId="0" applyFont="1" applyFill="1" applyBorder="1" applyAlignment="1" applyProtection="1">
      <alignment horizontal="center"/>
    </xf>
    <xf numFmtId="0" fontId="12" fillId="3" borderId="23"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locked="0"/>
    </xf>
    <xf numFmtId="0" fontId="12" fillId="3" borderId="25" xfId="0"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97" xfId="0" applyFont="1" applyFill="1" applyBorder="1" applyAlignment="1" applyProtection="1">
      <alignment horizontal="left" vertical="center" wrapText="1"/>
      <protection locked="0"/>
    </xf>
    <xf numFmtId="0" fontId="12" fillId="3" borderId="54" xfId="0" applyFont="1" applyFill="1" applyBorder="1" applyAlignment="1" applyProtection="1">
      <alignment horizontal="left" vertical="center" wrapText="1"/>
      <protection locked="0"/>
    </xf>
    <xf numFmtId="0" fontId="12" fillId="3" borderId="199"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12" fillId="0" borderId="27"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12" fillId="0" borderId="97" xfId="0" applyFont="1" applyFill="1" applyBorder="1" applyAlignment="1" applyProtection="1">
      <alignment horizontal="left" vertical="center" wrapText="1"/>
      <protection locked="0"/>
    </xf>
    <xf numFmtId="0" fontId="12" fillId="0" borderId="54" xfId="0" applyFont="1" applyFill="1" applyBorder="1" applyAlignment="1" applyProtection="1">
      <alignment horizontal="left" vertical="center" wrapText="1"/>
      <protection locked="0"/>
    </xf>
    <xf numFmtId="0" fontId="12" fillId="0" borderId="199" xfId="0" applyFont="1" applyFill="1" applyBorder="1" applyAlignment="1" applyProtection="1">
      <alignment horizontal="left" vertical="center" wrapText="1"/>
      <protection locked="0"/>
    </xf>
    <xf numFmtId="2" fontId="44" fillId="0" borderId="54" xfId="0" applyNumberFormat="1" applyFont="1" applyFill="1" applyBorder="1" applyAlignment="1" applyProtection="1">
      <alignment horizontal="left" vertical="center" wrapText="1" indent="2"/>
    </xf>
    <xf numFmtId="2" fontId="54" fillId="0" borderId="54" xfId="0" applyNumberFormat="1" applyFont="1" applyFill="1" applyBorder="1" applyAlignment="1" applyProtection="1">
      <alignment horizontal="left" vertical="center" wrapText="1" indent="2"/>
    </xf>
    <xf numFmtId="0" fontId="17" fillId="20" borderId="17" xfId="0" applyFont="1" applyFill="1" applyBorder="1" applyAlignment="1" applyProtection="1">
      <alignment horizontal="left"/>
    </xf>
    <xf numFmtId="0" fontId="17" fillId="20" borderId="0" xfId="0" applyFont="1" applyFill="1" applyBorder="1" applyAlignment="1" applyProtection="1">
      <alignment horizontal="left"/>
    </xf>
    <xf numFmtId="0" fontId="17" fillId="20" borderId="17" xfId="0" applyFont="1" applyFill="1" applyBorder="1" applyAlignment="1" applyProtection="1">
      <alignment horizontal="left" vertical="center"/>
    </xf>
    <xf numFmtId="0" fontId="17" fillId="20" borderId="0" xfId="0" applyFont="1" applyFill="1" applyBorder="1" applyAlignment="1" applyProtection="1">
      <alignment horizontal="left" vertical="center"/>
    </xf>
    <xf numFmtId="0" fontId="52" fillId="0" borderId="0" xfId="0" applyFont="1" applyBorder="1" applyAlignment="1" applyProtection="1">
      <alignment wrapText="1"/>
    </xf>
    <xf numFmtId="0" fontId="53" fillId="0" borderId="0" xfId="0" applyFont="1" applyBorder="1" applyAlignment="1" applyProtection="1">
      <alignment wrapText="1"/>
    </xf>
    <xf numFmtId="0" fontId="53" fillId="0" borderId="0" xfId="0" applyFont="1" applyFill="1" applyBorder="1" applyAlignment="1" applyProtection="1">
      <alignment wrapText="1"/>
    </xf>
    <xf numFmtId="165" fontId="53" fillId="0" borderId="0" xfId="1" applyNumberFormat="1" applyFont="1" applyBorder="1" applyAlignment="1" applyProtection="1">
      <alignment wrapText="1"/>
    </xf>
    <xf numFmtId="0" fontId="15" fillId="4" borderId="3" xfId="0" applyFont="1" applyFill="1" applyBorder="1" applyAlignment="1" applyProtection="1">
      <alignment horizontal="left" indent="1"/>
    </xf>
    <xf numFmtId="0" fontId="15" fillId="4" borderId="12" xfId="0" applyFont="1" applyFill="1" applyBorder="1" applyAlignment="1" applyProtection="1">
      <alignment horizontal="left" indent="1"/>
    </xf>
    <xf numFmtId="0" fontId="11" fillId="2" borderId="7" xfId="0" applyFont="1" applyFill="1" applyBorder="1" applyAlignment="1" applyProtection="1">
      <alignment horizontal="left"/>
    </xf>
    <xf numFmtId="0" fontId="11" fillId="2" borderId="2" xfId="0" applyFont="1" applyFill="1" applyBorder="1" applyAlignment="1" applyProtection="1">
      <alignment horizontal="left"/>
    </xf>
    <xf numFmtId="0" fontId="9" fillId="0" borderId="54" xfId="0" applyFont="1" applyBorder="1" applyAlignment="1" applyProtection="1">
      <alignment horizontal="left" indent="1"/>
      <protection locked="0"/>
    </xf>
    <xf numFmtId="0" fontId="15" fillId="4" borderId="85" xfId="0" applyFont="1" applyFill="1" applyBorder="1" applyAlignment="1" applyProtection="1">
      <alignment horizontal="left" indent="1"/>
    </xf>
    <xf numFmtId="0" fontId="15" fillId="4" borderId="96" xfId="0" applyFont="1" applyFill="1" applyBorder="1" applyAlignment="1" applyProtection="1">
      <alignment horizontal="left" indent="1"/>
    </xf>
    <xf numFmtId="0" fontId="15" fillId="4" borderId="1" xfId="0" applyFont="1" applyFill="1" applyBorder="1" applyAlignment="1" applyProtection="1">
      <alignment horizontal="left" indent="1"/>
    </xf>
    <xf numFmtId="0" fontId="15" fillId="4" borderId="4" xfId="0" applyFont="1" applyFill="1" applyBorder="1" applyAlignment="1" applyProtection="1">
      <alignment horizontal="left" indent="1"/>
    </xf>
    <xf numFmtId="0" fontId="15" fillId="0" borderId="0" xfId="0" applyFont="1" applyAlignment="1" applyProtection="1">
      <alignment horizontal="left" wrapText="1"/>
    </xf>
    <xf numFmtId="0" fontId="11" fillId="2" borderId="11" xfId="0" applyFont="1" applyFill="1" applyBorder="1" applyAlignment="1" applyProtection="1">
      <alignment horizontal="left"/>
    </xf>
    <xf numFmtId="0" fontId="11" fillId="2" borderId="9" xfId="0" applyFont="1" applyFill="1" applyBorder="1" applyAlignment="1" applyProtection="1">
      <alignment horizontal="left"/>
    </xf>
    <xf numFmtId="0" fontId="17" fillId="2" borderId="11" xfId="0" applyFont="1" applyFill="1" applyBorder="1" applyAlignment="1" applyProtection="1">
      <alignment horizontal="left"/>
    </xf>
    <xf numFmtId="0" fontId="17" fillId="2" borderId="0" xfId="0" applyFont="1" applyFill="1" applyBorder="1" applyAlignment="1" applyProtection="1">
      <alignment horizontal="left"/>
    </xf>
    <xf numFmtId="0" fontId="13" fillId="4" borderId="1" xfId="0" applyFont="1" applyFill="1" applyBorder="1" applyAlignment="1" applyProtection="1">
      <alignment horizontal="left" indent="1"/>
    </xf>
    <xf numFmtId="0" fontId="13" fillId="4" borderId="4" xfId="0" applyFont="1" applyFill="1" applyBorder="1" applyAlignment="1" applyProtection="1">
      <alignment horizontal="left" indent="1"/>
    </xf>
    <xf numFmtId="0" fontId="15" fillId="4" borderId="13" xfId="0" applyFont="1" applyFill="1" applyBorder="1" applyAlignment="1" applyProtection="1">
      <alignment horizontal="left" vertical="center" indent="1"/>
    </xf>
    <xf numFmtId="0" fontId="15" fillId="4" borderId="16" xfId="0" applyFont="1" applyFill="1" applyBorder="1" applyAlignment="1" applyProtection="1">
      <alignment horizontal="left" vertical="center" indent="1"/>
    </xf>
    <xf numFmtId="0" fontId="15" fillId="4" borderId="70" xfId="0" applyFont="1" applyFill="1" applyBorder="1" applyAlignment="1" applyProtection="1">
      <alignment horizontal="left" vertical="center" indent="1"/>
    </xf>
    <xf numFmtId="0" fontId="12" fillId="0" borderId="54" xfId="0" applyFont="1" applyBorder="1" applyAlignment="1" applyProtection="1">
      <alignment horizontal="left" indent="1"/>
      <protection locked="0"/>
    </xf>
    <xf numFmtId="0" fontId="13" fillId="0" borderId="54" xfId="0" applyFont="1" applyFill="1" applyBorder="1" applyAlignment="1" applyProtection="1">
      <alignment horizontal="left"/>
      <protection locked="0"/>
    </xf>
    <xf numFmtId="0" fontId="11" fillId="2" borderId="76" xfId="0" applyFont="1" applyFill="1" applyBorder="1" applyAlignment="1" applyProtection="1">
      <alignment horizontal="left"/>
    </xf>
    <xf numFmtId="0" fontId="11" fillId="2" borderId="192" xfId="0" applyFont="1" applyFill="1" applyBorder="1" applyAlignment="1" applyProtection="1">
      <alignment horizontal="left"/>
    </xf>
    <xf numFmtId="0" fontId="12" fillId="0" borderId="0" xfId="0" applyFont="1" applyFill="1" applyBorder="1" applyAlignment="1" applyProtection="1">
      <alignment horizontal="left" wrapText="1"/>
    </xf>
    <xf numFmtId="0" fontId="15" fillId="0" borderId="0" xfId="0" applyFont="1" applyFill="1" applyBorder="1" applyAlignment="1" applyProtection="1">
      <alignment horizontal="left" wrapText="1"/>
    </xf>
    <xf numFmtId="166" fontId="15" fillId="4" borderId="1" xfId="0" applyNumberFormat="1" applyFont="1" applyFill="1" applyBorder="1" applyAlignment="1" applyProtection="1">
      <alignment horizontal="left" indent="1"/>
    </xf>
    <xf numFmtId="166" fontId="15" fillId="4" borderId="4" xfId="0" applyNumberFormat="1" applyFont="1" applyFill="1" applyBorder="1" applyAlignment="1" applyProtection="1">
      <alignment horizontal="left" indent="1"/>
    </xf>
    <xf numFmtId="0" fontId="21" fillId="3" borderId="0" xfId="13" applyFont="1" applyFill="1" applyAlignment="1" applyProtection="1">
      <alignment horizontal="left" wrapText="1"/>
    </xf>
    <xf numFmtId="0" fontId="52" fillId="3" borderId="0" xfId="13" applyFont="1" applyFill="1" applyAlignment="1" applyProtection="1">
      <alignment horizontal="left" wrapText="1"/>
    </xf>
    <xf numFmtId="0" fontId="12" fillId="7" borderId="11" xfId="13" applyFont="1" applyFill="1" applyBorder="1" applyAlignment="1" applyProtection="1">
      <alignment horizontal="center" wrapText="1"/>
    </xf>
    <xf numFmtId="0" fontId="12" fillId="7" borderId="0" xfId="13" applyFont="1" applyFill="1" applyBorder="1" applyAlignment="1" applyProtection="1">
      <alignment horizontal="center" wrapText="1"/>
    </xf>
    <xf numFmtId="0" fontId="15" fillId="4" borderId="98" xfId="0" applyFont="1" applyFill="1" applyBorder="1" applyAlignment="1" applyProtection="1">
      <alignment horizontal="left" vertical="center"/>
    </xf>
    <xf numFmtId="0" fontId="15" fillId="4" borderId="103" xfId="0" applyFont="1" applyFill="1" applyBorder="1" applyAlignment="1" applyProtection="1">
      <alignment horizontal="left" vertical="center"/>
    </xf>
    <xf numFmtId="0" fontId="15" fillId="4" borderId="123" xfId="0" applyFont="1" applyFill="1" applyBorder="1" applyAlignment="1" applyProtection="1">
      <alignment horizontal="left" vertical="center"/>
    </xf>
    <xf numFmtId="0" fontId="12" fillId="4" borderId="150" xfId="0" applyFont="1" applyFill="1" applyBorder="1" applyAlignment="1" applyProtection="1">
      <alignment horizontal="left" vertical="center" indent="1"/>
    </xf>
    <xf numFmtId="0" fontId="12" fillId="4" borderId="88" xfId="0" applyFont="1" applyFill="1" applyBorder="1" applyAlignment="1" applyProtection="1">
      <alignment horizontal="left" vertical="center" indent="1"/>
    </xf>
    <xf numFmtId="0" fontId="12" fillId="4" borderId="89" xfId="0" applyFont="1" applyFill="1" applyBorder="1" applyAlignment="1" applyProtection="1">
      <alignment horizontal="left" vertical="center" indent="1"/>
    </xf>
    <xf numFmtId="0" fontId="21" fillId="3" borderId="0" xfId="0" applyFont="1" applyFill="1" applyAlignment="1" applyProtection="1">
      <alignment horizontal="left" wrapText="1"/>
    </xf>
    <xf numFmtId="0" fontId="12" fillId="4" borderId="13"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166" fontId="12" fillId="4" borderId="13" xfId="0" applyNumberFormat="1" applyFont="1" applyFill="1" applyBorder="1" applyAlignment="1" applyProtection="1">
      <alignment horizontal="center" vertical="center"/>
    </xf>
    <xf numFmtId="166" fontId="12" fillId="4" borderId="6" xfId="0" applyNumberFormat="1" applyFont="1" applyFill="1" applyBorder="1" applyAlignment="1" applyProtection="1">
      <alignment horizontal="center" vertical="center"/>
    </xf>
    <xf numFmtId="0" fontId="11" fillId="2" borderId="13" xfId="0" applyFont="1" applyFill="1" applyBorder="1" applyAlignment="1" applyProtection="1">
      <alignment horizontal="left" vertical="center"/>
    </xf>
    <xf numFmtId="0" fontId="11" fillId="2" borderId="6" xfId="0"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0" fontId="56" fillId="21" borderId="121" xfId="0" applyFont="1" applyFill="1" applyBorder="1" applyAlignment="1" applyProtection="1">
      <alignment horizontal="center" wrapText="1"/>
    </xf>
    <xf numFmtId="0" fontId="56" fillId="21" borderId="8" xfId="0" applyFont="1" applyFill="1" applyBorder="1" applyAlignment="1" applyProtection="1">
      <alignment horizontal="center" wrapText="1"/>
    </xf>
    <xf numFmtId="0" fontId="56" fillId="21" borderId="91" xfId="0" applyFont="1" applyFill="1" applyBorder="1" applyAlignment="1" applyProtection="1">
      <alignment horizontal="center" wrapText="1"/>
    </xf>
    <xf numFmtId="0" fontId="56" fillId="21" borderId="193" xfId="0" applyFont="1" applyFill="1" applyBorder="1" applyAlignment="1" applyProtection="1">
      <alignment horizontal="center" wrapText="1"/>
    </xf>
    <xf numFmtId="0" fontId="56" fillId="21" borderId="16" xfId="0" applyFont="1" applyFill="1" applyBorder="1" applyAlignment="1" applyProtection="1">
      <alignment horizontal="center" wrapText="1"/>
    </xf>
    <xf numFmtId="0" fontId="56" fillId="21" borderId="70" xfId="0" applyFont="1" applyFill="1" applyBorder="1" applyAlignment="1" applyProtection="1">
      <alignment horizontal="center" wrapText="1"/>
    </xf>
    <xf numFmtId="3" fontId="12" fillId="4" borderId="13" xfId="0" applyNumberFormat="1" applyFont="1" applyFill="1" applyBorder="1" applyAlignment="1" applyProtection="1">
      <alignment horizontal="left" vertical="center" wrapText="1"/>
    </xf>
    <xf numFmtId="0" fontId="12" fillId="4" borderId="70" xfId="0" applyFont="1" applyFill="1" applyBorder="1" applyAlignment="1" applyProtection="1">
      <alignment horizontal="left" vertical="center" wrapText="1"/>
    </xf>
    <xf numFmtId="0" fontId="12" fillId="4" borderId="1" xfId="0" applyNumberFormat="1" applyFont="1" applyFill="1" applyBorder="1" applyAlignment="1" applyProtection="1">
      <alignment horizontal="left" vertical="center" wrapText="1" indent="1"/>
    </xf>
    <xf numFmtId="0" fontId="13" fillId="7" borderId="13" xfId="0" applyFont="1" applyFill="1" applyBorder="1" applyAlignment="1" applyProtection="1">
      <alignment horizontal="center" vertical="center" wrapText="1"/>
    </xf>
    <xf numFmtId="0" fontId="2" fillId="7" borderId="70" xfId="0" applyFont="1" applyFill="1" applyBorder="1" applyAlignment="1" applyProtection="1">
      <alignment vertical="center" wrapText="1"/>
    </xf>
    <xf numFmtId="0" fontId="13" fillId="5" borderId="1" xfId="0" applyFont="1" applyFill="1" applyBorder="1" applyAlignment="1" applyProtection="1">
      <alignment horizontal="center" vertical="center" wrapText="1"/>
    </xf>
    <xf numFmtId="0" fontId="0" fillId="0" borderId="1" xfId="0" applyBorder="1" applyAlignment="1" applyProtection="1">
      <alignment wrapText="1"/>
    </xf>
    <xf numFmtId="0" fontId="13" fillId="7" borderId="1" xfId="0" applyFont="1" applyFill="1" applyBorder="1" applyAlignment="1" applyProtection="1">
      <alignment horizontal="center" vertical="center" wrapText="1"/>
    </xf>
    <xf numFmtId="0" fontId="13" fillId="5" borderId="116" xfId="0" applyFont="1" applyFill="1" applyBorder="1" applyAlignment="1" applyProtection="1">
      <alignment horizontal="center" vertical="center" wrapText="1"/>
    </xf>
    <xf numFmtId="0" fontId="13" fillId="5" borderId="75" xfId="0" applyFont="1" applyFill="1" applyBorder="1" applyAlignment="1" applyProtection="1">
      <alignment horizontal="center" vertical="center" wrapText="1"/>
    </xf>
    <xf numFmtId="0" fontId="12" fillId="4" borderId="150" xfId="0" applyNumberFormat="1" applyFont="1" applyFill="1" applyBorder="1" applyAlignment="1" applyProtection="1">
      <alignment horizontal="left" vertical="center" wrapText="1" indent="1"/>
    </xf>
    <xf numFmtId="0" fontId="12" fillId="4" borderId="88" xfId="0" applyNumberFormat="1" applyFont="1" applyFill="1" applyBorder="1" applyAlignment="1" applyProtection="1">
      <alignment horizontal="left" vertical="center" wrapText="1" indent="1"/>
    </xf>
    <xf numFmtId="0" fontId="12" fillId="4" borderId="152" xfId="0" applyNumberFormat="1" applyFont="1" applyFill="1" applyBorder="1" applyAlignment="1" applyProtection="1">
      <alignment horizontal="left" vertical="center" wrapText="1" indent="1"/>
    </xf>
    <xf numFmtId="3" fontId="12" fillId="14" borderId="150" xfId="0" applyNumberFormat="1" applyFont="1" applyFill="1" applyBorder="1" applyAlignment="1" applyProtection="1">
      <alignment horizontal="left" vertical="center" wrapText="1"/>
    </xf>
    <xf numFmtId="0" fontId="12" fillId="14" borderId="152" xfId="0" applyFont="1" applyFill="1" applyBorder="1" applyAlignment="1" applyProtection="1">
      <alignment horizontal="left" vertical="center" wrapText="1"/>
    </xf>
    <xf numFmtId="0" fontId="12" fillId="0" borderId="150" xfId="0" applyFont="1" applyFill="1" applyBorder="1" applyAlignment="1" applyProtection="1">
      <alignment horizontal="left" vertical="center" wrapText="1" indent="1"/>
      <protection locked="0"/>
    </xf>
    <xf numFmtId="0" fontId="12" fillId="0" borderId="88" xfId="0" applyFont="1" applyBorder="1" applyAlignment="1" applyProtection="1">
      <alignment horizontal="left" vertical="center" wrapText="1" indent="1"/>
      <protection locked="0"/>
    </xf>
    <xf numFmtId="0" fontId="12" fillId="0" borderId="89" xfId="0" applyFont="1" applyBorder="1" applyAlignment="1" applyProtection="1">
      <alignment horizontal="left" vertical="center" wrapText="1" indent="1"/>
      <protection locked="0"/>
    </xf>
    <xf numFmtId="0" fontId="12" fillId="4" borderId="13" xfId="0" applyNumberFormat="1" applyFont="1" applyFill="1" applyBorder="1" applyAlignment="1" applyProtection="1">
      <alignment horizontal="left" vertical="center" wrapText="1" indent="1"/>
    </xf>
    <xf numFmtId="0" fontId="12" fillId="4" borderId="16" xfId="0" applyNumberFormat="1" applyFont="1" applyFill="1" applyBorder="1" applyAlignment="1" applyProtection="1">
      <alignment horizontal="left" vertical="center" wrapText="1" indent="1"/>
    </xf>
    <xf numFmtId="0" fontId="12" fillId="4" borderId="6" xfId="0" applyNumberFormat="1" applyFont="1" applyFill="1" applyBorder="1" applyAlignment="1" applyProtection="1">
      <alignment horizontal="left" vertical="center" wrapText="1" indent="1"/>
    </xf>
    <xf numFmtId="3" fontId="12" fillId="14" borderId="13" xfId="0" applyNumberFormat="1" applyFont="1" applyFill="1" applyBorder="1" applyAlignment="1" applyProtection="1">
      <alignment horizontal="left" vertical="center" wrapText="1"/>
    </xf>
    <xf numFmtId="0" fontId="12" fillId="14" borderId="6" xfId="0" applyFont="1" applyFill="1" applyBorder="1" applyAlignment="1" applyProtection="1">
      <alignment horizontal="left" vertical="center" wrapText="1"/>
    </xf>
    <xf numFmtId="0" fontId="12" fillId="0" borderId="16" xfId="0" applyFont="1" applyBorder="1" applyAlignment="1" applyProtection="1">
      <alignment horizontal="left" vertical="center" wrapText="1" indent="1"/>
      <protection locked="0"/>
    </xf>
    <xf numFmtId="0" fontId="12" fillId="0" borderId="70" xfId="0" applyFont="1" applyBorder="1" applyAlignment="1" applyProtection="1">
      <alignment horizontal="left" vertical="center" wrapText="1" indent="1"/>
      <protection locked="0"/>
    </xf>
    <xf numFmtId="0" fontId="11" fillId="2" borderId="98" xfId="0" applyFont="1" applyFill="1" applyBorder="1" applyAlignment="1" applyProtection="1">
      <alignment horizontal="left" vertical="center"/>
    </xf>
    <xf numFmtId="0" fontId="11" fillId="2" borderId="200" xfId="0" applyFont="1" applyFill="1" applyBorder="1" applyAlignment="1" applyProtection="1">
      <alignment horizontal="left" vertical="center"/>
    </xf>
    <xf numFmtId="0" fontId="13" fillId="0" borderId="172" xfId="0" applyFont="1" applyBorder="1" applyAlignment="1" applyProtection="1">
      <alignment horizontal="left" vertical="center" wrapText="1" indent="1"/>
      <protection locked="0"/>
    </xf>
    <xf numFmtId="0" fontId="13" fillId="0" borderId="103" xfId="0" applyFont="1" applyBorder="1" applyAlignment="1" applyProtection="1">
      <alignment horizontal="left" vertical="center" wrapText="1" indent="1"/>
      <protection locked="0"/>
    </xf>
    <xf numFmtId="0" fontId="13" fillId="0" borderId="123" xfId="0" applyFont="1" applyBorder="1" applyAlignment="1" applyProtection="1">
      <alignment horizontal="left" vertical="center" wrapText="1" indent="1"/>
      <protection locked="0"/>
    </xf>
    <xf numFmtId="0" fontId="15" fillId="4" borderId="90" xfId="0" applyFont="1" applyFill="1" applyBorder="1" applyAlignment="1" applyProtection="1">
      <alignment horizontal="left" vertical="center" indent="1"/>
    </xf>
    <xf numFmtId="0" fontId="15" fillId="4" borderId="8" xfId="0" applyFont="1" applyFill="1" applyBorder="1" applyAlignment="1" applyProtection="1">
      <alignment horizontal="left" vertical="center" indent="1"/>
    </xf>
    <xf numFmtId="0" fontId="15" fillId="4" borderId="91" xfId="0" applyFont="1" applyFill="1" applyBorder="1" applyAlignment="1" applyProtection="1">
      <alignment horizontal="left" vertical="center" indent="1"/>
    </xf>
    <xf numFmtId="0" fontId="15" fillId="4" borderId="97" xfId="0" applyFont="1" applyFill="1" applyBorder="1" applyAlignment="1" applyProtection="1">
      <alignment horizontal="left" vertical="center" indent="1"/>
    </xf>
    <xf numFmtId="0" fontId="15" fillId="4" borderId="54" xfId="0" applyFont="1" applyFill="1" applyBorder="1" applyAlignment="1" applyProtection="1">
      <alignment horizontal="left" vertical="center" indent="1"/>
    </xf>
    <xf numFmtId="0" fontId="15" fillId="4" borderId="154" xfId="0" applyFont="1" applyFill="1" applyBorder="1" applyAlignment="1" applyProtection="1">
      <alignment horizontal="left" vertical="center" indent="1"/>
    </xf>
    <xf numFmtId="0" fontId="13" fillId="5" borderId="95"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2" fillId="5" borderId="6" xfId="0" applyFont="1" applyFill="1" applyBorder="1" applyAlignment="1" applyProtection="1">
      <alignment vertical="center" wrapText="1"/>
    </xf>
    <xf numFmtId="0" fontId="13" fillId="4" borderId="13" xfId="0" applyFont="1" applyFill="1" applyBorder="1" applyAlignment="1" applyProtection="1">
      <alignment horizontal="left" vertical="center" indent="1"/>
    </xf>
    <xf numFmtId="0" fontId="13" fillId="4" borderId="16" xfId="0" applyFont="1" applyFill="1" applyBorder="1" applyAlignment="1" applyProtection="1">
      <alignment horizontal="left" vertical="center" indent="1"/>
    </xf>
    <xf numFmtId="0" fontId="13" fillId="4" borderId="70" xfId="0" applyFont="1" applyFill="1" applyBorder="1" applyAlignment="1" applyProtection="1">
      <alignment horizontal="left" vertical="center" indent="1"/>
    </xf>
    <xf numFmtId="0" fontId="0" fillId="0" borderId="27" xfId="0" applyBorder="1" applyAlignment="1" applyProtection="1">
      <alignment wrapText="1"/>
    </xf>
    <xf numFmtId="0" fontId="0" fillId="0" borderId="97" xfId="0" applyBorder="1" applyAlignment="1" applyProtection="1">
      <alignment wrapText="1"/>
    </xf>
    <xf numFmtId="0" fontId="0" fillId="0" borderId="54" xfId="0" applyBorder="1" applyAlignment="1" applyProtection="1">
      <alignment wrapText="1"/>
    </xf>
    <xf numFmtId="166" fontId="15" fillId="4" borderId="13" xfId="0" applyNumberFormat="1" applyFont="1" applyFill="1" applyBorder="1" applyAlignment="1" applyProtection="1">
      <alignment horizontal="left" vertical="center" indent="1"/>
    </xf>
    <xf numFmtId="166" fontId="15" fillId="4" borderId="16" xfId="0" applyNumberFormat="1" applyFont="1" applyFill="1" applyBorder="1" applyAlignment="1" applyProtection="1">
      <alignment horizontal="left" vertical="center" indent="1"/>
    </xf>
    <xf numFmtId="166" fontId="15" fillId="4" borderId="70" xfId="0" applyNumberFormat="1" applyFont="1" applyFill="1" applyBorder="1" applyAlignment="1" applyProtection="1">
      <alignment horizontal="left" vertical="center" indent="1"/>
    </xf>
    <xf numFmtId="0" fontId="12" fillId="4" borderId="13" xfId="0" applyFont="1" applyFill="1" applyBorder="1" applyAlignment="1" applyProtection="1">
      <alignment horizontal="left" vertical="center" wrapText="1"/>
    </xf>
    <xf numFmtId="0" fontId="12" fillId="4" borderId="16"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3" xfId="0" applyFont="1" applyFill="1" applyBorder="1" applyAlignment="1" applyProtection="1">
      <alignment horizontal="left" vertical="center" wrapText="1"/>
    </xf>
    <xf numFmtId="0" fontId="12" fillId="4" borderId="3" xfId="0" applyFont="1" applyFill="1" applyBorder="1" applyAlignment="1" applyProtection="1">
      <alignment vertical="center"/>
    </xf>
    <xf numFmtId="3" fontId="12" fillId="3"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3" fontId="12" fillId="0" borderId="1" xfId="0" applyNumberFormat="1"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4" fillId="4" borderId="76" xfId="0" applyFont="1" applyFill="1" applyBorder="1" applyAlignment="1" applyProtection="1">
      <alignment horizontal="left" vertical="center"/>
    </xf>
    <xf numFmtId="0" fontId="14" fillId="4" borderId="49" xfId="0" applyFont="1" applyFill="1" applyBorder="1" applyAlignment="1" applyProtection="1">
      <alignment horizontal="left" vertical="center"/>
    </xf>
    <xf numFmtId="0" fontId="14" fillId="4" borderId="87" xfId="0" applyFont="1" applyFill="1" applyBorder="1" applyAlignment="1" applyProtection="1">
      <alignment horizontal="left" vertical="center"/>
    </xf>
    <xf numFmtId="0" fontId="13" fillId="5" borderId="173" xfId="0" applyFont="1" applyFill="1" applyBorder="1" applyAlignment="1" applyProtection="1">
      <alignment horizontal="center" vertical="center" wrapText="1"/>
    </xf>
    <xf numFmtId="0" fontId="13" fillId="7" borderId="120" xfId="0" applyFont="1" applyFill="1" applyBorder="1" applyAlignment="1" applyProtection="1">
      <alignment horizontal="center" vertical="center" wrapText="1"/>
    </xf>
    <xf numFmtId="0" fontId="0" fillId="7" borderId="190" xfId="0" applyFill="1" applyBorder="1" applyAlignment="1" applyProtection="1">
      <alignment horizontal="center" vertical="center" wrapText="1"/>
    </xf>
    <xf numFmtId="0" fontId="23" fillId="5" borderId="120" xfId="0" applyFont="1" applyFill="1" applyBorder="1" applyAlignment="1" applyProtection="1">
      <alignment horizontal="center" vertical="center" wrapText="1"/>
    </xf>
    <xf numFmtId="0" fontId="0" fillId="0" borderId="120" xfId="0" applyBorder="1" applyAlignment="1" applyProtection="1">
      <alignment vertical="center"/>
    </xf>
    <xf numFmtId="0" fontId="23" fillId="5" borderId="190" xfId="0" applyFont="1" applyFill="1" applyBorder="1" applyAlignment="1" applyProtection="1">
      <alignment horizontal="center" vertical="center" wrapText="1"/>
    </xf>
    <xf numFmtId="0" fontId="0" fillId="0" borderId="190" xfId="0" applyBorder="1" applyAlignment="1" applyProtection="1">
      <alignment vertical="center"/>
    </xf>
    <xf numFmtId="0" fontId="13" fillId="5" borderId="120" xfId="0" applyFont="1" applyFill="1" applyBorder="1" applyAlignment="1" applyProtection="1">
      <alignment horizontal="center" vertical="center" wrapText="1"/>
    </xf>
    <xf numFmtId="0" fontId="0" fillId="0" borderId="190" xfId="0" applyBorder="1" applyAlignment="1" applyProtection="1">
      <alignment horizontal="center" vertical="center" wrapText="1"/>
    </xf>
    <xf numFmtId="0" fontId="13" fillId="7" borderId="190" xfId="0" applyFont="1" applyFill="1" applyBorder="1" applyAlignment="1" applyProtection="1">
      <alignment horizontal="center" vertical="center" wrapText="1"/>
    </xf>
    <xf numFmtId="0" fontId="13" fillId="5" borderId="15" xfId="0" applyFont="1" applyFill="1" applyBorder="1" applyAlignment="1" applyProtection="1">
      <alignment horizontal="center" vertical="center" wrapText="1"/>
    </xf>
    <xf numFmtId="0" fontId="0" fillId="0" borderId="202" xfId="0" applyBorder="1" applyAlignment="1" applyProtection="1">
      <alignment horizontal="center" vertical="center" wrapText="1"/>
    </xf>
    <xf numFmtId="0" fontId="11" fillId="2" borderId="0" xfId="0" applyFont="1" applyFill="1" applyBorder="1" applyAlignment="1" applyProtection="1">
      <alignment horizontal="left" vertical="center"/>
    </xf>
    <xf numFmtId="0" fontId="0" fillId="0" borderId="0" xfId="0" applyAlignment="1" applyProtection="1">
      <alignment vertical="center"/>
    </xf>
    <xf numFmtId="0" fontId="11" fillId="2" borderId="11" xfId="0" applyFont="1" applyFill="1" applyBorder="1" applyAlignment="1" applyProtection="1">
      <alignment vertical="center"/>
    </xf>
    <xf numFmtId="0" fontId="11" fillId="2" borderId="98" xfId="0" applyFont="1" applyFill="1" applyBorder="1" applyAlignment="1" applyProtection="1">
      <alignment vertical="center"/>
    </xf>
    <xf numFmtId="0" fontId="0" fillId="0" borderId="103" xfId="0" applyBorder="1" applyAlignment="1" applyProtection="1">
      <alignment vertical="center"/>
    </xf>
    <xf numFmtId="0" fontId="0" fillId="0" borderId="123" xfId="0" applyBorder="1" applyAlignment="1" applyProtection="1">
      <alignment vertical="center"/>
    </xf>
    <xf numFmtId="0" fontId="52" fillId="3" borderId="0" xfId="0" applyFont="1" applyFill="1" applyBorder="1" applyAlignment="1" applyProtection="1">
      <alignment horizontal="left" vertical="center" wrapText="1"/>
    </xf>
    <xf numFmtId="0" fontId="7" fillId="3" borderId="0" xfId="0" applyFont="1" applyFill="1" applyBorder="1" applyAlignment="1" applyProtection="1">
      <alignment horizontal="center" vertical="center"/>
    </xf>
    <xf numFmtId="0" fontId="0" fillId="0" borderId="120" xfId="0" applyBorder="1" applyAlignment="1" applyProtection="1">
      <alignment wrapText="1"/>
    </xf>
    <xf numFmtId="0" fontId="0" fillId="0" borderId="15" xfId="0" applyBorder="1" applyAlignment="1" applyProtection="1">
      <alignment wrapText="1"/>
    </xf>
    <xf numFmtId="0" fontId="0" fillId="0" borderId="190" xfId="0" applyBorder="1" applyAlignment="1" applyProtection="1">
      <alignment wrapText="1"/>
    </xf>
    <xf numFmtId="0" fontId="0" fillId="0" borderId="202" xfId="0" applyBorder="1" applyAlignment="1" applyProtection="1">
      <alignment wrapText="1"/>
    </xf>
    <xf numFmtId="0" fontId="0" fillId="5" borderId="75" xfId="0" applyFill="1" applyBorder="1" applyAlignment="1">
      <alignment horizontal="center" vertical="center" wrapText="1"/>
    </xf>
    <xf numFmtId="0" fontId="0" fillId="0" borderId="120" xfId="0" applyBorder="1" applyAlignment="1" applyProtection="1">
      <alignment horizontal="center" vertical="center" wrapText="1"/>
    </xf>
    <xf numFmtId="0" fontId="0" fillId="5" borderId="190" xfId="0" applyFill="1" applyBorder="1" applyAlignment="1" applyProtection="1">
      <alignment horizontal="center" vertical="center" wrapText="1"/>
    </xf>
    <xf numFmtId="3" fontId="12" fillId="0" borderId="120" xfId="0" applyNumberFormat="1" applyFont="1" applyFill="1" applyBorder="1" applyAlignment="1" applyProtection="1">
      <alignment horizontal="left" vertical="center" wrapText="1"/>
      <protection locked="0"/>
    </xf>
    <xf numFmtId="0" fontId="12" fillId="0" borderId="120"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3" fontId="12" fillId="3" borderId="3" xfId="0" applyNumberFormat="1" applyFont="1" applyFill="1" applyBorder="1" applyAlignment="1" applyProtection="1">
      <alignment horizontal="center" vertical="center" wrapText="1"/>
      <protection locked="0"/>
    </xf>
    <xf numFmtId="0" fontId="12" fillId="0" borderId="3" xfId="0" applyFont="1" applyBorder="1" applyAlignment="1" applyProtection="1">
      <alignment vertical="center" wrapText="1"/>
      <protection locked="0"/>
    </xf>
    <xf numFmtId="3" fontId="12" fillId="0" borderId="28" xfId="0" applyNumberFormat="1" applyFont="1" applyFill="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149" xfId="0" applyFont="1" applyBorder="1" applyAlignment="1" applyProtection="1">
      <alignment horizontal="left" vertical="center" wrapText="1"/>
      <protection locked="0"/>
    </xf>
    <xf numFmtId="0" fontId="12" fillId="0" borderId="76" xfId="0" applyFont="1" applyFill="1" applyBorder="1" applyAlignment="1" applyProtection="1">
      <alignment horizontal="left" vertical="center"/>
      <protection locked="0"/>
    </xf>
    <xf numFmtId="0" fontId="15" fillId="0" borderId="49" xfId="0" applyFont="1" applyFill="1" applyBorder="1" applyAlignment="1" applyProtection="1">
      <alignment horizontal="left" vertical="center"/>
      <protection locked="0"/>
    </xf>
    <xf numFmtId="0" fontId="15" fillId="0" borderId="87"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17"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142" xfId="0" applyFont="1" applyFill="1" applyBorder="1" applyAlignment="1" applyProtection="1">
      <alignment horizontal="left" vertical="center"/>
      <protection locked="0"/>
    </xf>
    <xf numFmtId="0" fontId="13" fillId="3" borderId="10" xfId="0" applyFont="1" applyFill="1" applyBorder="1" applyAlignment="1" applyProtection="1">
      <alignment vertical="center" wrapText="1"/>
    </xf>
    <xf numFmtId="0" fontId="0" fillId="0" borderId="10" xfId="0" applyBorder="1" applyAlignment="1">
      <alignment vertical="center"/>
    </xf>
    <xf numFmtId="0" fontId="129" fillId="0" borderId="220" xfId="0" applyFont="1" applyFill="1" applyBorder="1" applyAlignment="1">
      <alignment horizontal="center" vertical="center" wrapText="1"/>
    </xf>
    <xf numFmtId="0" fontId="129" fillId="0" borderId="221" xfId="0" applyFont="1" applyFill="1" applyBorder="1" applyAlignment="1">
      <alignment horizontal="center" vertical="center" wrapText="1"/>
    </xf>
    <xf numFmtId="0" fontId="129" fillId="0" borderId="1" xfId="0" applyFont="1" applyFill="1" applyBorder="1" applyAlignment="1">
      <alignment horizontal="center" vertical="center" wrapText="1"/>
    </xf>
    <xf numFmtId="0" fontId="128" fillId="0" borderId="0" xfId="0" applyFont="1" applyFill="1" applyBorder="1" applyAlignment="1" applyProtection="1">
      <alignment horizontal="center" vertical="center" wrapText="1"/>
    </xf>
    <xf numFmtId="0" fontId="109" fillId="0" borderId="98" xfId="0" applyFont="1" applyFill="1" applyBorder="1" applyAlignment="1" applyProtection="1">
      <alignment horizontal="center" vertical="center" wrapText="1"/>
    </xf>
    <xf numFmtId="0" fontId="109" fillId="0" borderId="103" xfId="0" applyFont="1" applyFill="1" applyBorder="1" applyAlignment="1" applyProtection="1">
      <alignment horizontal="center" vertical="center" wrapText="1"/>
    </xf>
    <xf numFmtId="0" fontId="109" fillId="0" borderId="123" xfId="0" applyFont="1" applyFill="1" applyBorder="1" applyAlignment="1" applyProtection="1">
      <alignment horizontal="center" vertical="center" wrapText="1"/>
    </xf>
    <xf numFmtId="0" fontId="109" fillId="0" borderId="121" xfId="0" applyFont="1" applyFill="1" applyBorder="1" applyAlignment="1" applyProtection="1">
      <alignment horizontal="center" vertical="center" wrapText="1"/>
    </xf>
    <xf numFmtId="0" fontId="109" fillId="0" borderId="8" xfId="0" applyFont="1" applyFill="1" applyBorder="1" applyAlignment="1" applyProtection="1">
      <alignment horizontal="center" vertical="center" wrapText="1"/>
    </xf>
    <xf numFmtId="0" fontId="109" fillId="0" borderId="91" xfId="0" applyFont="1" applyFill="1" applyBorder="1" applyAlignment="1" applyProtection="1">
      <alignment horizontal="center" vertical="center" wrapText="1"/>
    </xf>
    <xf numFmtId="0" fontId="109" fillId="0" borderId="92" xfId="0" applyFont="1" applyFill="1" applyBorder="1" applyAlignment="1" applyProtection="1">
      <alignment horizontal="center" vertical="center" wrapText="1"/>
    </xf>
    <xf numFmtId="0" fontId="109" fillId="0" borderId="3" xfId="0" applyFont="1" applyFill="1" applyBorder="1" applyAlignment="1" applyProtection="1">
      <alignment horizontal="center" vertical="center" wrapText="1"/>
    </xf>
    <xf numFmtId="0" fontId="109" fillId="0" borderId="93" xfId="0" applyFont="1" applyFill="1" applyBorder="1" applyAlignment="1" applyProtection="1">
      <alignment horizontal="center" vertical="center" wrapText="1"/>
    </xf>
    <xf numFmtId="0" fontId="109" fillId="0" borderId="1" xfId="0" applyFont="1" applyFill="1" applyBorder="1" applyAlignment="1" applyProtection="1">
      <alignment horizontal="center" vertical="center" wrapText="1"/>
    </xf>
    <xf numFmtId="0" fontId="109" fillId="0" borderId="94" xfId="0" applyFont="1" applyFill="1" applyBorder="1" applyAlignment="1" applyProtection="1">
      <alignment horizontal="center" vertical="center" wrapText="1"/>
    </xf>
    <xf numFmtId="0" fontId="109" fillId="0" borderId="85" xfId="0" applyFont="1" applyFill="1" applyBorder="1" applyAlignment="1" applyProtection="1">
      <alignment horizontal="center" vertical="center" wrapText="1"/>
    </xf>
    <xf numFmtId="0" fontId="109" fillId="0" borderId="5" xfId="0" applyFont="1" applyFill="1" applyBorder="1" applyAlignment="1" applyProtection="1">
      <alignment horizontal="center" vertical="center" wrapText="1"/>
    </xf>
    <xf numFmtId="0" fontId="109" fillId="0" borderId="188" xfId="0" applyFont="1" applyFill="1" applyBorder="1" applyAlignment="1" applyProtection="1">
      <alignment horizontal="center" vertical="center" wrapText="1"/>
    </xf>
    <xf numFmtId="0" fontId="109" fillId="0" borderId="152" xfId="0" applyFont="1" applyFill="1" applyBorder="1" applyAlignment="1" applyProtection="1">
      <alignment horizontal="center" vertical="center" wrapText="1"/>
    </xf>
    <xf numFmtId="0" fontId="109" fillId="0" borderId="193" xfId="0" applyFont="1" applyFill="1" applyBorder="1" applyAlignment="1" applyProtection="1">
      <alignment horizontal="center" vertical="center" wrapText="1"/>
    </xf>
    <xf numFmtId="0" fontId="109" fillId="0" borderId="6" xfId="0" applyFont="1" applyFill="1" applyBorder="1" applyAlignment="1" applyProtection="1">
      <alignment horizontal="center" vertical="center" wrapText="1"/>
    </xf>
    <xf numFmtId="0" fontId="134" fillId="0" borderId="86" xfId="0" applyFont="1" applyFill="1" applyBorder="1" applyAlignment="1" applyProtection="1">
      <alignment horizontal="center" vertical="center" wrapText="1"/>
    </xf>
    <xf numFmtId="0" fontId="134" fillId="0" borderId="77" xfId="0" applyFont="1" applyFill="1" applyBorder="1" applyAlignment="1" applyProtection="1">
      <alignment horizontal="center" vertical="center" wrapText="1"/>
    </xf>
    <xf numFmtId="0" fontId="132" fillId="0" borderId="86" xfId="0" applyNumberFormat="1" applyFont="1" applyFill="1" applyBorder="1" applyAlignment="1" applyProtection="1">
      <alignment horizontal="center" vertical="center" wrapText="1"/>
    </xf>
    <xf numFmtId="0" fontId="132" fillId="0" borderId="77" xfId="0" applyNumberFormat="1" applyFont="1" applyFill="1" applyBorder="1" applyAlignment="1" applyProtection="1">
      <alignment horizontal="center" vertical="center" wrapText="1"/>
    </xf>
    <xf numFmtId="0" fontId="109" fillId="0" borderId="155" xfId="0" applyFont="1" applyFill="1" applyBorder="1" applyAlignment="1" applyProtection="1">
      <alignment horizontal="center" vertical="center" wrapText="1"/>
    </xf>
    <xf numFmtId="0" fontId="109" fillId="0" borderId="122" xfId="0" applyFont="1" applyFill="1" applyBorder="1" applyAlignment="1" applyProtection="1">
      <alignment horizontal="center" vertical="center" wrapText="1"/>
    </xf>
    <xf numFmtId="0" fontId="115" fillId="0" borderId="0" xfId="0" applyFont="1" applyFill="1" applyBorder="1" applyAlignment="1" applyProtection="1">
      <alignment horizontal="left" vertical="center" wrapText="1"/>
    </xf>
    <xf numFmtId="0" fontId="131" fillId="0" borderId="0" xfId="0" applyFont="1" applyFill="1" applyBorder="1" applyAlignment="1" applyProtection="1">
      <alignment horizontal="left" vertical="center" wrapText="1"/>
    </xf>
    <xf numFmtId="0" fontId="129" fillId="0" borderId="86" xfId="0" applyFont="1" applyFill="1" applyBorder="1" applyAlignment="1" applyProtection="1">
      <alignment horizontal="center" vertical="center" wrapText="1"/>
    </xf>
    <xf numFmtId="0" fontId="129" fillId="0" borderId="77" xfId="0" applyFont="1" applyFill="1" applyBorder="1" applyAlignment="1" applyProtection="1">
      <alignment horizontal="center" vertical="center" wrapText="1"/>
    </xf>
    <xf numFmtId="0" fontId="29" fillId="0" borderId="86" xfId="0" applyFont="1" applyFill="1" applyBorder="1" applyAlignment="1" applyProtection="1">
      <alignment horizontal="center" vertical="center" wrapText="1"/>
    </xf>
    <xf numFmtId="0" fontId="29" fillId="0" borderId="77"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3"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xf>
    <xf numFmtId="0" fontId="12" fillId="3" borderId="85"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12" fillId="3" borderId="150" xfId="0" applyFont="1" applyFill="1" applyBorder="1" applyAlignment="1" applyProtection="1">
      <alignment horizontal="left" vertical="center"/>
      <protection locked="0"/>
    </xf>
    <xf numFmtId="0" fontId="12" fillId="3" borderId="88" xfId="0" applyFont="1" applyFill="1" applyBorder="1" applyAlignment="1" applyProtection="1">
      <alignment horizontal="left" vertical="center"/>
      <protection locked="0"/>
    </xf>
    <xf numFmtId="0" fontId="12" fillId="3" borderId="89" xfId="0" applyFont="1" applyFill="1" applyBorder="1" applyAlignment="1" applyProtection="1">
      <alignment horizontal="left"/>
      <protection locked="0"/>
    </xf>
    <xf numFmtId="0" fontId="12" fillId="3" borderId="193"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12" fillId="3" borderId="188" xfId="0" applyFont="1" applyFill="1" applyBorder="1" applyAlignment="1" applyProtection="1">
      <alignment horizontal="left" vertical="center" wrapText="1"/>
    </xf>
    <xf numFmtId="0" fontId="2" fillId="3" borderId="88" xfId="0" applyFont="1" applyFill="1" applyBorder="1" applyAlignment="1" applyProtection="1">
      <alignment horizontal="left" vertical="center" wrapText="1"/>
    </xf>
    <xf numFmtId="0" fontId="12" fillId="3" borderId="93"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5" fillId="4" borderId="193" xfId="0" applyFont="1" applyFill="1" applyBorder="1" applyAlignment="1" applyProtection="1">
      <alignment horizontal="left" vertical="center" wrapText="1" indent="1"/>
    </xf>
    <xf numFmtId="0" fontId="15" fillId="4" borderId="16" xfId="0" applyFont="1" applyFill="1" applyBorder="1" applyAlignment="1" applyProtection="1">
      <alignment horizontal="left" vertical="center" wrapText="1" indent="1"/>
    </xf>
    <xf numFmtId="0" fontId="12" fillId="3" borderId="1" xfId="0" applyFont="1" applyFill="1" applyBorder="1" applyAlignment="1" applyProtection="1">
      <alignment horizontal="center" vertical="center" wrapText="1"/>
      <protection locked="0"/>
    </xf>
    <xf numFmtId="0" fontId="23" fillId="5" borderId="75" xfId="0" applyFont="1" applyFill="1" applyBorder="1" applyAlignment="1" applyProtection="1">
      <alignment horizontal="center" vertical="center"/>
    </xf>
    <xf numFmtId="0" fontId="2" fillId="5" borderId="157" xfId="0" applyFont="1" applyFill="1" applyBorder="1" applyAlignment="1" applyProtection="1"/>
    <xf numFmtId="0" fontId="2" fillId="5" borderId="8" xfId="0" applyFont="1" applyFill="1" applyBorder="1" applyAlignment="1" applyProtection="1">
      <alignment horizontal="center" vertical="center" wrapText="1"/>
    </xf>
    <xf numFmtId="0" fontId="12" fillId="3" borderId="13" xfId="0" applyFont="1" applyFill="1" applyBorder="1" applyAlignment="1" applyProtection="1">
      <alignment horizontal="left" vertical="center" wrapText="1"/>
      <protection locked="0"/>
    </xf>
    <xf numFmtId="0" fontId="12" fillId="3" borderId="16" xfId="0" applyFont="1" applyFill="1" applyBorder="1" applyAlignment="1" applyProtection="1">
      <alignment horizontal="left" vertical="center"/>
      <protection locked="0"/>
    </xf>
    <xf numFmtId="0" fontId="12" fillId="3" borderId="70" xfId="0" applyFont="1" applyFill="1" applyBorder="1" applyAlignment="1" applyProtection="1">
      <alignment horizontal="left"/>
      <protection locked="0"/>
    </xf>
    <xf numFmtId="0" fontId="23" fillId="3" borderId="98" xfId="0" applyFont="1" applyFill="1" applyBorder="1" applyAlignment="1" applyProtection="1">
      <alignment horizontal="center" vertical="center" wrapText="1"/>
    </xf>
    <xf numFmtId="0" fontId="0" fillId="3" borderId="103" xfId="0" applyFill="1" applyBorder="1" applyAlignment="1" applyProtection="1">
      <alignment horizontal="center" vertical="center" wrapText="1"/>
    </xf>
    <xf numFmtId="0" fontId="0" fillId="3" borderId="123" xfId="0" applyFill="1" applyBorder="1" applyAlignment="1" applyProtection="1">
      <alignment horizontal="center" vertical="center" wrapText="1"/>
    </xf>
    <xf numFmtId="0" fontId="23" fillId="3" borderId="98" xfId="0" applyFont="1" applyFill="1" applyBorder="1" applyAlignment="1" applyProtection="1">
      <alignment horizontal="center" vertical="center"/>
    </xf>
    <xf numFmtId="0" fontId="0" fillId="3" borderId="123" xfId="0" applyFill="1" applyBorder="1" applyAlignment="1" applyProtection="1">
      <alignment horizontal="center" vertical="center"/>
    </xf>
    <xf numFmtId="0" fontId="73" fillId="0" borderId="203" xfId="0" applyFont="1" applyFill="1" applyBorder="1" applyAlignment="1" applyProtection="1">
      <alignment horizontal="left" vertical="center"/>
    </xf>
    <xf numFmtId="0" fontId="26" fillId="3" borderId="0" xfId="0" applyFont="1" applyFill="1" applyBorder="1" applyAlignment="1" applyProtection="1">
      <alignment horizontal="left" vertical="center"/>
    </xf>
    <xf numFmtId="0" fontId="12" fillId="5" borderId="75" xfId="0" applyFont="1" applyFill="1" applyBorder="1" applyAlignment="1" applyProtection="1">
      <alignment horizontal="center" vertical="center" wrapText="1"/>
    </xf>
    <xf numFmtId="0" fontId="15" fillId="4" borderId="193" xfId="0" applyNumberFormat="1" applyFont="1" applyFill="1" applyBorder="1" applyAlignment="1" applyProtection="1">
      <alignment horizontal="left" vertical="center" wrapText="1" indent="1"/>
    </xf>
    <xf numFmtId="0" fontId="0" fillId="4" borderId="16" xfId="0" applyNumberFormat="1" applyFill="1" applyBorder="1" applyAlignment="1" applyProtection="1">
      <alignment horizontal="left" vertical="center" wrapText="1" indent="1"/>
    </xf>
    <xf numFmtId="0" fontId="0" fillId="4" borderId="70" xfId="0" applyNumberFormat="1" applyFill="1" applyBorder="1" applyAlignment="1" applyProtection="1">
      <alignment horizontal="left" vertical="center" wrapText="1" indent="1"/>
    </xf>
    <xf numFmtId="0" fontId="13" fillId="5" borderId="76" xfId="0" applyFont="1" applyFill="1" applyBorder="1" applyAlignment="1" applyProtection="1">
      <alignment horizontal="center" vertical="center"/>
    </xf>
    <xf numFmtId="0" fontId="12" fillId="5" borderId="49" xfId="0" applyFont="1" applyFill="1" applyBorder="1" applyAlignment="1" applyProtection="1">
      <alignment horizontal="center" vertical="center"/>
    </xf>
    <xf numFmtId="0" fontId="12" fillId="5" borderId="49" xfId="0" applyFont="1" applyFill="1" applyBorder="1" applyAlignment="1" applyProtection="1"/>
    <xf numFmtId="0" fontId="12" fillId="5" borderId="87" xfId="0" applyFont="1" applyFill="1" applyBorder="1" applyAlignment="1" applyProtection="1"/>
    <xf numFmtId="0" fontId="74" fillId="3" borderId="7" xfId="0" applyFont="1" applyFill="1" applyBorder="1" applyAlignment="1" applyProtection="1">
      <alignment horizontal="left"/>
    </xf>
    <xf numFmtId="0" fontId="73" fillId="3" borderId="10" xfId="0" applyFont="1" applyFill="1" applyBorder="1" applyAlignment="1" applyProtection="1">
      <alignment horizontal="left"/>
    </xf>
    <xf numFmtId="0" fontId="12" fillId="0" borderId="16"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5" fillId="4" borderId="13"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15" fillId="4" borderId="6" xfId="0" applyNumberFormat="1" applyFont="1" applyFill="1" applyBorder="1" applyAlignment="1" applyProtection="1">
      <alignment horizontal="left" vertical="center" wrapText="1"/>
    </xf>
    <xf numFmtId="0" fontId="12" fillId="29" borderId="16" xfId="0" applyFont="1" applyFill="1" applyBorder="1" applyAlignment="1" applyProtection="1">
      <alignment horizontal="left" vertical="center" wrapText="1"/>
      <protection locked="0"/>
    </xf>
    <xf numFmtId="0" fontId="12" fillId="29" borderId="70" xfId="0" applyFont="1" applyFill="1" applyBorder="1" applyAlignment="1" applyProtection="1">
      <alignment horizontal="left" vertical="center" wrapText="1"/>
      <protection locked="0"/>
    </xf>
    <xf numFmtId="0" fontId="74" fillId="4" borderId="0" xfId="0" applyFont="1" applyFill="1" applyBorder="1" applyAlignment="1" applyProtection="1">
      <alignment horizontal="left" vertical="center" wrapText="1"/>
    </xf>
    <xf numFmtId="0" fontId="73" fillId="4" borderId="0" xfId="0" applyFont="1" applyFill="1" applyBorder="1" applyAlignment="1">
      <alignment horizontal="left" vertical="center" wrapText="1"/>
    </xf>
    <xf numFmtId="0" fontId="9" fillId="0" borderId="98" xfId="0" applyFont="1" applyFill="1" applyBorder="1" applyAlignment="1" applyProtection="1">
      <alignment horizontal="center" vertical="center" wrapText="1"/>
    </xf>
    <xf numFmtId="0" fontId="0" fillId="0" borderId="103" xfId="0" applyFill="1" applyBorder="1" applyAlignment="1" applyProtection="1">
      <alignment horizontal="center" vertical="center" wrapText="1"/>
    </xf>
    <xf numFmtId="0" fontId="0" fillId="0" borderId="103" xfId="0" applyFill="1" applyBorder="1" applyAlignment="1" applyProtection="1">
      <alignment wrapText="1"/>
    </xf>
    <xf numFmtId="0" fontId="0" fillId="0" borderId="123" xfId="0" applyFill="1" applyBorder="1" applyAlignment="1" applyProtection="1">
      <alignment wrapText="1"/>
    </xf>
    <xf numFmtId="0" fontId="23" fillId="5" borderId="49" xfId="0" applyFont="1" applyFill="1" applyBorder="1" applyAlignment="1" applyProtection="1">
      <alignment horizontal="center" vertical="center" wrapText="1"/>
    </xf>
    <xf numFmtId="0" fontId="0" fillId="0" borderId="49" xfId="0" applyBorder="1" applyAlignment="1" applyProtection="1">
      <alignment wrapText="1"/>
    </xf>
    <xf numFmtId="0" fontId="0" fillId="0" borderId="87" xfId="0" applyBorder="1" applyAlignment="1" applyProtection="1">
      <alignment wrapText="1"/>
    </xf>
    <xf numFmtId="0" fontId="13" fillId="5" borderId="76" xfId="0" applyFont="1" applyFill="1"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87" xfId="0" applyBorder="1" applyAlignment="1" applyProtection="1">
      <alignment horizontal="center" vertical="center" wrapText="1"/>
    </xf>
    <xf numFmtId="0" fontId="12" fillId="0" borderId="6"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5" fillId="4" borderId="121" xfId="0" applyNumberFormat="1" applyFont="1" applyFill="1" applyBorder="1" applyAlignment="1" applyProtection="1">
      <alignment horizontal="left" vertical="center" wrapText="1" indent="1"/>
    </xf>
    <xf numFmtId="0" fontId="0" fillId="4" borderId="8" xfId="0" applyNumberFormat="1" applyFill="1" applyBorder="1" applyAlignment="1" applyProtection="1">
      <alignment horizontal="left" vertical="center" wrapText="1" indent="1"/>
    </xf>
    <xf numFmtId="0" fontId="0" fillId="4" borderId="91" xfId="0" applyNumberFormat="1" applyFill="1" applyBorder="1" applyAlignment="1" applyProtection="1">
      <alignment horizontal="left" vertical="center" wrapText="1" indent="1"/>
    </xf>
    <xf numFmtId="0" fontId="73" fillId="4" borderId="0" xfId="0" applyFont="1" applyFill="1" applyBorder="1" applyAlignment="1" applyProtection="1">
      <alignment horizontal="left" vertical="center" wrapText="1"/>
    </xf>
    <xf numFmtId="0" fontId="73" fillId="4" borderId="68" xfId="0" applyFont="1" applyFill="1" applyBorder="1" applyAlignment="1" applyProtection="1">
      <alignment horizontal="left" vertical="center" wrapText="1"/>
    </xf>
    <xf numFmtId="0" fontId="73" fillId="4" borderId="10" xfId="0" applyFont="1" applyFill="1" applyBorder="1" applyAlignment="1" applyProtection="1">
      <alignment horizontal="left" wrapText="1"/>
    </xf>
    <xf numFmtId="3" fontId="12" fillId="3" borderId="85" xfId="0" applyNumberFormat="1" applyFont="1" applyFill="1" applyBorder="1" applyAlignment="1" applyProtection="1">
      <alignment horizontal="center" vertical="center" wrapText="1"/>
      <protection locked="0"/>
    </xf>
    <xf numFmtId="3" fontId="15" fillId="3" borderId="85" xfId="0" applyNumberFormat="1" applyFont="1" applyFill="1" applyBorder="1" applyAlignment="1" applyProtection="1">
      <alignment horizontal="center" vertical="center" wrapText="1"/>
      <protection locked="0"/>
    </xf>
    <xf numFmtId="3" fontId="15" fillId="3" borderId="1" xfId="0" applyNumberFormat="1" applyFont="1" applyFill="1" applyBorder="1" applyAlignment="1" applyProtection="1">
      <alignment horizontal="center" vertical="center" wrapText="1"/>
      <protection locked="0"/>
    </xf>
    <xf numFmtId="0" fontId="13" fillId="3" borderId="92" xfId="0" applyFont="1" applyFill="1" applyBorder="1" applyAlignment="1" applyProtection="1">
      <alignment horizontal="left" vertical="center" wrapText="1"/>
    </xf>
    <xf numFmtId="0" fontId="13" fillId="3" borderId="90" xfId="0" applyFont="1" applyFill="1" applyBorder="1" applyAlignment="1" applyProtection="1">
      <alignment horizontal="left" vertical="center" wrapText="1"/>
    </xf>
    <xf numFmtId="3" fontId="15" fillId="6" borderId="3" xfId="0" applyNumberFormat="1" applyFont="1" applyFill="1" applyBorder="1" applyAlignment="1" applyProtection="1">
      <alignment horizontal="center" vertical="center" wrapText="1"/>
    </xf>
    <xf numFmtId="3" fontId="2" fillId="3" borderId="150" xfId="0" applyNumberFormat="1" applyFont="1" applyFill="1" applyBorder="1" applyAlignment="1" applyProtection="1">
      <alignment horizontal="left" vertical="center" wrapText="1"/>
      <protection locked="0"/>
    </xf>
    <xf numFmtId="3" fontId="2" fillId="3" borderId="152" xfId="0" applyNumberFormat="1" applyFont="1" applyFill="1" applyBorder="1" applyAlignment="1" applyProtection="1">
      <alignment horizontal="left" vertical="center" wrapText="1"/>
      <protection locked="0"/>
    </xf>
    <xf numFmtId="3" fontId="12" fillId="3" borderId="150" xfId="0" applyNumberFormat="1" applyFont="1" applyFill="1" applyBorder="1" applyAlignment="1" applyProtection="1">
      <alignment horizontal="center" vertical="center" wrapText="1"/>
      <protection locked="0"/>
    </xf>
    <xf numFmtId="3" fontId="12" fillId="3" borderId="152" xfId="0" applyNumberFormat="1" applyFont="1" applyFill="1" applyBorder="1" applyAlignment="1" applyProtection="1">
      <alignment horizontal="center" vertical="center" wrapText="1"/>
      <protection locked="0"/>
    </xf>
    <xf numFmtId="0" fontId="12" fillId="3" borderId="94" xfId="0" applyFont="1" applyFill="1" applyBorder="1" applyAlignment="1" applyProtection="1">
      <alignment horizontal="left" vertical="center" wrapText="1"/>
    </xf>
    <xf numFmtId="0" fontId="12" fillId="3" borderId="150" xfId="0" applyFont="1" applyFill="1" applyBorder="1" applyAlignment="1" applyProtection="1">
      <alignment horizontal="left" vertical="center" wrapText="1"/>
    </xf>
    <xf numFmtId="0" fontId="13" fillId="5" borderId="173" xfId="0" applyFont="1" applyFill="1" applyBorder="1" applyAlignment="1" applyProtection="1">
      <alignment horizontal="left" vertical="center" wrapText="1"/>
    </xf>
    <xf numFmtId="0" fontId="13" fillId="5" borderId="120" xfId="0" applyFont="1" applyFill="1" applyBorder="1" applyAlignment="1" applyProtection="1">
      <alignment horizontal="left" vertical="center" wrapText="1"/>
    </xf>
    <xf numFmtId="0" fontId="13" fillId="5" borderId="14" xfId="0" applyFont="1" applyFill="1" applyBorder="1" applyAlignment="1" applyProtection="1">
      <alignment horizontal="center" vertical="center" wrapText="1"/>
    </xf>
    <xf numFmtId="0" fontId="13" fillId="5" borderId="192" xfId="0" applyFont="1" applyFill="1" applyBorder="1" applyAlignment="1" applyProtection="1">
      <alignment horizontal="center" vertical="center" wrapText="1"/>
    </xf>
    <xf numFmtId="3" fontId="15" fillId="6" borderId="90" xfId="0" applyNumberFormat="1" applyFont="1" applyFill="1" applyBorder="1" applyAlignment="1" applyProtection="1">
      <alignment horizontal="center" vertical="center"/>
    </xf>
    <xf numFmtId="3" fontId="15" fillId="6" borderId="5" xfId="0" applyNumberFormat="1"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15" fillId="4" borderId="188" xfId="0" applyFont="1" applyFill="1" applyBorder="1" applyAlignment="1" applyProtection="1">
      <alignment horizontal="left" vertical="center"/>
    </xf>
    <xf numFmtId="0" fontId="15" fillId="4" borderId="88" xfId="0" applyFont="1" applyFill="1" applyBorder="1" applyAlignment="1" applyProtection="1">
      <alignment horizontal="left" vertical="center"/>
    </xf>
    <xf numFmtId="0" fontId="15" fillId="4" borderId="89" xfId="0" applyFont="1" applyFill="1" applyBorder="1" applyAlignment="1" applyProtection="1">
      <alignment horizontal="left" vertical="center"/>
    </xf>
    <xf numFmtId="3" fontId="12" fillId="3" borderId="13" xfId="0" applyNumberFormat="1" applyFont="1" applyFill="1" applyBorder="1" applyAlignment="1" applyProtection="1">
      <alignment horizontal="center" vertical="center" wrapText="1"/>
      <protection locked="0"/>
    </xf>
    <xf numFmtId="3" fontId="12" fillId="3" borderId="6" xfId="0" applyNumberFormat="1" applyFont="1" applyFill="1" applyBorder="1" applyAlignment="1" applyProtection="1">
      <alignment horizontal="center" vertical="center" wrapText="1"/>
      <protection locked="0"/>
    </xf>
    <xf numFmtId="3" fontId="110" fillId="3" borderId="13" xfId="0" applyNumberFormat="1" applyFont="1" applyFill="1" applyBorder="1" applyAlignment="1" applyProtection="1">
      <alignment horizontal="left" vertical="center" wrapText="1"/>
      <protection locked="0"/>
    </xf>
    <xf numFmtId="3" fontId="110" fillId="3" borderId="6" xfId="0" applyNumberFormat="1" applyFont="1" applyFill="1" applyBorder="1" applyAlignment="1" applyProtection="1">
      <alignment horizontal="left" vertical="center" wrapText="1"/>
      <protection locked="0"/>
    </xf>
    <xf numFmtId="0" fontId="12" fillId="3" borderId="98" xfId="0" applyFont="1" applyFill="1" applyBorder="1" applyAlignment="1" applyProtection="1">
      <alignment horizontal="left" vertical="top" wrapText="1"/>
      <protection locked="0"/>
    </xf>
    <xf numFmtId="0" fontId="12" fillId="3" borderId="103" xfId="0" applyFont="1" applyFill="1" applyBorder="1" applyAlignment="1" applyProtection="1">
      <alignment horizontal="left" vertical="top" wrapText="1"/>
      <protection locked="0"/>
    </xf>
    <xf numFmtId="0" fontId="12" fillId="3" borderId="123" xfId="0" applyFont="1" applyFill="1" applyBorder="1" applyAlignment="1" applyProtection="1">
      <alignment horizontal="left" vertical="top" wrapText="1"/>
      <protection locked="0"/>
    </xf>
    <xf numFmtId="0" fontId="13" fillId="5" borderId="204" xfId="0" applyFont="1" applyFill="1" applyBorder="1" applyAlignment="1" applyProtection="1">
      <alignment horizontal="left" wrapText="1"/>
    </xf>
    <xf numFmtId="0" fontId="0" fillId="5" borderId="119" xfId="0" applyFill="1" applyBorder="1" applyAlignment="1" applyProtection="1">
      <alignment horizontal="left" wrapText="1"/>
    </xf>
    <xf numFmtId="0" fontId="0" fillId="5" borderId="113" xfId="0" applyFill="1" applyBorder="1" applyAlignment="1" applyProtection="1">
      <alignment horizontal="left" wrapText="1"/>
    </xf>
    <xf numFmtId="0" fontId="13" fillId="3" borderId="3" xfId="0" applyFont="1" applyFill="1" applyBorder="1" applyAlignment="1" applyProtection="1">
      <alignment horizontal="left" vertical="center" wrapText="1"/>
    </xf>
    <xf numFmtId="0" fontId="12" fillId="3" borderId="85"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3" fontId="12" fillId="3" borderId="13" xfId="0" applyNumberFormat="1" applyFont="1" applyFill="1" applyBorder="1" applyAlignment="1" applyProtection="1">
      <alignment horizontal="left" vertical="center" wrapText="1"/>
      <protection locked="0"/>
    </xf>
    <xf numFmtId="3" fontId="15" fillId="3" borderId="6" xfId="0" applyNumberFormat="1" applyFont="1" applyFill="1" applyBorder="1" applyAlignment="1" applyProtection="1">
      <alignment horizontal="left" vertical="center" wrapText="1"/>
      <protection locked="0"/>
    </xf>
    <xf numFmtId="3" fontId="12" fillId="3" borderId="150" xfId="0" applyNumberFormat="1" applyFont="1" applyFill="1" applyBorder="1" applyAlignment="1" applyProtection="1">
      <alignment horizontal="left" vertical="center" wrapText="1"/>
      <protection locked="0"/>
    </xf>
    <xf numFmtId="3" fontId="15" fillId="3" borderId="152" xfId="0" applyNumberFormat="1" applyFont="1" applyFill="1" applyBorder="1" applyAlignment="1" applyProtection="1">
      <alignment horizontal="left" vertical="center" wrapText="1"/>
      <protection locked="0"/>
    </xf>
    <xf numFmtId="0" fontId="15" fillId="4" borderId="6" xfId="0" applyFont="1" applyFill="1" applyBorder="1" applyAlignment="1" applyProtection="1">
      <alignment horizontal="left" vertical="center" indent="1"/>
    </xf>
    <xf numFmtId="166" fontId="15" fillId="4" borderId="6" xfId="0" applyNumberFormat="1" applyFont="1" applyFill="1" applyBorder="1" applyAlignment="1" applyProtection="1">
      <alignment horizontal="left" vertical="center" indent="1"/>
    </xf>
    <xf numFmtId="0" fontId="13" fillId="14" borderId="76" xfId="0" applyFont="1" applyFill="1" applyBorder="1" applyAlignment="1" applyProtection="1">
      <alignment horizontal="left" vertical="center"/>
    </xf>
    <xf numFmtId="0" fontId="13" fillId="14" borderId="49" xfId="0" applyFont="1" applyFill="1" applyBorder="1" applyAlignment="1" applyProtection="1">
      <alignment horizontal="left" vertical="center"/>
    </xf>
    <xf numFmtId="0" fontId="13" fillId="14" borderId="87" xfId="0" applyFont="1" applyFill="1" applyBorder="1" applyAlignment="1" applyProtection="1">
      <alignment horizontal="left" vertical="center"/>
    </xf>
    <xf numFmtId="0" fontId="12" fillId="0" borderId="16" xfId="0" applyFont="1" applyFill="1" applyBorder="1" applyAlignment="1" applyProtection="1">
      <alignment horizontal="left" vertical="center" wrapText="1"/>
    </xf>
    <xf numFmtId="0" fontId="13" fillId="3" borderId="92" xfId="0" applyFont="1" applyFill="1" applyBorder="1" applyAlignment="1" applyProtection="1">
      <alignment horizontal="left" vertical="center"/>
    </xf>
    <xf numFmtId="0" fontId="13" fillId="3" borderId="3" xfId="0" applyFont="1" applyFill="1" applyBorder="1" applyAlignment="1" applyProtection="1">
      <alignment horizontal="left" vertical="center"/>
    </xf>
    <xf numFmtId="0" fontId="12" fillId="0" borderId="188" xfId="0" applyFont="1" applyFill="1" applyBorder="1" applyAlignment="1" applyProtection="1">
      <alignment horizontal="center" vertical="center"/>
    </xf>
    <xf numFmtId="0" fontId="12" fillId="0" borderId="152" xfId="0" applyFont="1" applyFill="1" applyBorder="1" applyAlignment="1" applyProtection="1">
      <alignment horizontal="center" vertical="center"/>
    </xf>
    <xf numFmtId="0" fontId="72" fillId="3" borderId="54" xfId="0" applyFont="1" applyFill="1" applyBorder="1" applyAlignment="1" applyProtection="1">
      <alignment horizontal="left"/>
      <protection locked="0"/>
    </xf>
    <xf numFmtId="0" fontId="12" fillId="3" borderId="27" xfId="0" applyFont="1" applyFill="1" applyBorder="1" applyAlignment="1" applyProtection="1">
      <alignment horizontal="left" vertical="top" wrapText="1" indent="1"/>
      <protection locked="0"/>
    </xf>
    <xf numFmtId="0" fontId="0" fillId="0" borderId="54" xfId="0" applyBorder="1" applyAlignment="1" applyProtection="1">
      <alignment horizontal="left" vertical="top" wrapText="1" indent="1"/>
      <protection locked="0"/>
    </xf>
    <xf numFmtId="0" fontId="12" fillId="3" borderId="0" xfId="0" applyFont="1" applyFill="1" applyAlignment="1" applyProtection="1">
      <alignment vertical="center" wrapText="1"/>
    </xf>
    <xf numFmtId="0" fontId="0" fillId="0" borderId="0" xfId="0" applyAlignment="1">
      <alignment vertical="center" wrapText="1"/>
    </xf>
    <xf numFmtId="0" fontId="72" fillId="3" borderId="16" xfId="0" applyFont="1" applyFill="1" applyBorder="1" applyAlignment="1" applyProtection="1">
      <alignment horizontal="left"/>
      <protection locked="0"/>
    </xf>
    <xf numFmtId="0" fontId="72" fillId="3" borderId="13" xfId="0" applyFont="1" applyFill="1" applyBorder="1" applyAlignment="1" applyProtection="1">
      <alignment horizontal="left" vertical="top" wrapText="1" indent="1"/>
      <protection locked="0"/>
    </xf>
    <xf numFmtId="0" fontId="72" fillId="3" borderId="16" xfId="0" applyFont="1" applyFill="1" applyBorder="1" applyAlignment="1" applyProtection="1">
      <alignment horizontal="left" vertical="top" wrapText="1" indent="1"/>
      <protection locked="0"/>
    </xf>
    <xf numFmtId="0" fontId="72" fillId="3" borderId="6" xfId="0" applyFont="1" applyFill="1" applyBorder="1" applyAlignment="1" applyProtection="1">
      <alignment horizontal="left" vertical="top" wrapText="1" indent="1"/>
      <protection locked="0"/>
    </xf>
    <xf numFmtId="0" fontId="0" fillId="3" borderId="23" xfId="0" applyFill="1" applyBorder="1" applyAlignment="1" applyProtection="1">
      <alignment horizontal="left" vertical="top" wrapText="1" indent="1"/>
      <protection locked="0"/>
    </xf>
    <xf numFmtId="0" fontId="0" fillId="3" borderId="27" xfId="0" applyFill="1" applyBorder="1" applyAlignment="1" applyProtection="1">
      <alignment horizontal="left" vertical="top" wrapText="1" indent="1"/>
      <protection locked="0"/>
    </xf>
    <xf numFmtId="0" fontId="0" fillId="3" borderId="25" xfId="0" applyFill="1" applyBorder="1" applyAlignment="1" applyProtection="1">
      <alignment horizontal="left" vertical="top" wrapText="1" indent="1"/>
      <protection locked="0"/>
    </xf>
    <xf numFmtId="0" fontId="0" fillId="3" borderId="17" xfId="0" applyFill="1" applyBorder="1" applyAlignment="1" applyProtection="1">
      <alignment horizontal="left" vertical="top" wrapText="1" indent="1"/>
      <protection locked="0"/>
    </xf>
    <xf numFmtId="0" fontId="0" fillId="3" borderId="0" xfId="0" applyFill="1" applyBorder="1" applyAlignment="1" applyProtection="1">
      <alignment horizontal="left" vertical="top" wrapText="1" indent="1"/>
      <protection locked="0"/>
    </xf>
    <xf numFmtId="0" fontId="0" fillId="3" borderId="9" xfId="0" applyFill="1" applyBorder="1" applyAlignment="1" applyProtection="1">
      <alignment horizontal="left" vertical="top" wrapText="1" indent="1"/>
      <protection locked="0"/>
    </xf>
    <xf numFmtId="0" fontId="0" fillId="3" borderId="97" xfId="0" applyFill="1" applyBorder="1" applyAlignment="1" applyProtection="1">
      <alignment horizontal="left" vertical="top" wrapText="1" indent="1"/>
      <protection locked="0"/>
    </xf>
    <xf numFmtId="0" fontId="0" fillId="3" borderId="54" xfId="0" applyFill="1" applyBorder="1" applyAlignment="1" applyProtection="1">
      <alignment horizontal="left" vertical="top" wrapText="1" indent="1"/>
      <protection locked="0"/>
    </xf>
    <xf numFmtId="0" fontId="0" fillId="3" borderId="199" xfId="0" applyFill="1" applyBorder="1" applyAlignment="1" applyProtection="1">
      <alignment horizontal="left" vertical="top" wrapText="1" indent="1"/>
      <protection locked="0"/>
    </xf>
    <xf numFmtId="0" fontId="72" fillId="3" borderId="27" xfId="0" applyFont="1" applyFill="1" applyBorder="1" applyAlignment="1" applyProtection="1">
      <alignment horizontal="left" vertical="top" wrapText="1" indent="1"/>
      <protection locked="0"/>
    </xf>
    <xf numFmtId="0" fontId="63" fillId="0" borderId="54" xfId="0" applyFont="1" applyBorder="1" applyAlignment="1" applyProtection="1">
      <alignment horizontal="left" vertical="top" wrapText="1" indent="1"/>
      <protection locked="0"/>
    </xf>
    <xf numFmtId="0" fontId="17" fillId="2" borderId="11" xfId="0" applyFont="1" applyFill="1" applyBorder="1" applyAlignment="1" applyProtection="1">
      <alignment horizontal="left"/>
      <protection locked="0"/>
    </xf>
    <xf numFmtId="0" fontId="17" fillId="2" borderId="0" xfId="0" applyFont="1" applyFill="1" applyBorder="1" applyAlignment="1" applyProtection="1">
      <alignment horizontal="left"/>
      <protection locked="0"/>
    </xf>
    <xf numFmtId="0" fontId="13" fillId="3" borderId="27" xfId="0" applyFont="1" applyFill="1" applyBorder="1" applyAlignment="1" applyProtection="1">
      <alignment horizontal="center" vertical="center"/>
      <protection locked="0"/>
    </xf>
    <xf numFmtId="0" fontId="0" fillId="0" borderId="54" xfId="0" applyBorder="1" applyAlignment="1" applyProtection="1">
      <alignment vertical="center"/>
      <protection locked="0"/>
    </xf>
    <xf numFmtId="0" fontId="72" fillId="3" borderId="0" xfId="0" applyFont="1" applyFill="1" applyAlignment="1" applyProtection="1">
      <alignment vertical="center" wrapText="1"/>
    </xf>
    <xf numFmtId="0" fontId="0" fillId="0" borderId="0" xfId="0" applyAlignment="1">
      <alignment vertical="center"/>
    </xf>
    <xf numFmtId="0" fontId="11" fillId="2" borderId="193" xfId="0" applyFont="1" applyFill="1" applyBorder="1" applyAlignment="1" applyProtection="1">
      <alignment horizontal="left" vertical="center"/>
    </xf>
    <xf numFmtId="0" fontId="11" fillId="2" borderId="188" xfId="0" applyFont="1" applyFill="1" applyBorder="1" applyAlignment="1" applyProtection="1">
      <alignment horizontal="left" vertical="center"/>
    </xf>
    <xf numFmtId="0" fontId="11" fillId="2" borderId="88" xfId="0" applyFont="1" applyFill="1" applyBorder="1" applyAlignment="1" applyProtection="1">
      <alignment horizontal="left" vertical="center"/>
    </xf>
    <xf numFmtId="0" fontId="11" fillId="2" borderId="152" xfId="0" applyFont="1" applyFill="1" applyBorder="1" applyAlignment="1" applyProtection="1">
      <alignment horizontal="left" vertical="center"/>
    </xf>
    <xf numFmtId="0" fontId="72" fillId="3" borderId="0" xfId="0" applyFont="1" applyFill="1" applyAlignment="1" applyProtection="1">
      <alignment vertical="center"/>
    </xf>
    <xf numFmtId="0" fontId="13" fillId="3" borderId="0" xfId="0" applyFont="1" applyFill="1" applyBorder="1" applyAlignment="1" applyProtection="1">
      <alignment horizontal="center" vertical="center"/>
      <protection locked="0"/>
    </xf>
    <xf numFmtId="165" fontId="12" fillId="3" borderId="0" xfId="6" applyNumberFormat="1" applyFont="1" applyFill="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12" fillId="4" borderId="13" xfId="0" applyNumberFormat="1" applyFont="1" applyFill="1" applyBorder="1" applyAlignment="1" applyProtection="1">
      <alignment horizontal="left" vertical="center" indent="1"/>
    </xf>
    <xf numFmtId="0" fontId="12" fillId="4" borderId="16" xfId="0" applyNumberFormat="1" applyFont="1" applyFill="1" applyBorder="1" applyAlignment="1" applyProtection="1">
      <alignment horizontal="left" vertical="center" indent="1"/>
    </xf>
    <xf numFmtId="0" fontId="12" fillId="4" borderId="70" xfId="0" applyNumberFormat="1" applyFont="1" applyFill="1" applyBorder="1" applyAlignment="1" applyProtection="1">
      <alignment horizontal="left" vertical="center" indent="1"/>
    </xf>
    <xf numFmtId="0" fontId="11" fillId="2" borderId="103" xfId="0" applyFont="1" applyFill="1" applyBorder="1" applyAlignment="1" applyProtection="1">
      <alignment horizontal="left" vertical="center"/>
    </xf>
    <xf numFmtId="0" fontId="12" fillId="4" borderId="172" xfId="0" applyNumberFormat="1" applyFont="1" applyFill="1" applyBorder="1" applyAlignment="1" applyProtection="1">
      <alignment horizontal="left" vertical="center" wrapText="1" indent="1"/>
    </xf>
    <xf numFmtId="0" fontId="12" fillId="4" borderId="103" xfId="0" applyNumberFormat="1" applyFont="1" applyFill="1" applyBorder="1" applyAlignment="1" applyProtection="1">
      <alignment horizontal="left" vertical="center" wrapText="1" indent="1"/>
    </xf>
    <xf numFmtId="0" fontId="12" fillId="4" borderId="123" xfId="0" applyNumberFormat="1" applyFont="1" applyFill="1" applyBorder="1" applyAlignment="1" applyProtection="1">
      <alignment horizontal="left" vertical="center" wrapText="1" indent="1"/>
    </xf>
    <xf numFmtId="0" fontId="12" fillId="4" borderId="90" xfId="0" applyNumberFormat="1" applyFont="1" applyFill="1" applyBorder="1" applyAlignment="1" applyProtection="1">
      <alignment horizontal="left" vertical="center" indent="1"/>
    </xf>
    <xf numFmtId="0" fontId="12" fillId="4" borderId="8" xfId="0" applyNumberFormat="1" applyFont="1" applyFill="1" applyBorder="1" applyAlignment="1" applyProtection="1">
      <alignment horizontal="left" vertical="center" indent="1"/>
    </xf>
    <xf numFmtId="0" fontId="12" fillId="4" borderId="91" xfId="0" applyNumberFormat="1" applyFont="1" applyFill="1" applyBorder="1" applyAlignment="1" applyProtection="1">
      <alignment horizontal="left" vertical="center" indent="1"/>
    </xf>
    <xf numFmtId="166" fontId="12" fillId="4" borderId="13" xfId="0" applyNumberFormat="1" applyFont="1" applyFill="1" applyBorder="1" applyAlignment="1" applyProtection="1">
      <alignment horizontal="left" vertical="center" indent="1"/>
    </xf>
    <xf numFmtId="166" fontId="12" fillId="4" borderId="16" xfId="0" applyNumberFormat="1" applyFont="1" applyFill="1" applyBorder="1" applyAlignment="1" applyProtection="1">
      <alignment horizontal="left" vertical="center" indent="1"/>
    </xf>
    <xf numFmtId="166" fontId="12" fillId="4" borderId="70" xfId="0" applyNumberFormat="1" applyFont="1" applyFill="1" applyBorder="1" applyAlignment="1" applyProtection="1">
      <alignment horizontal="left" vertical="center" indent="1"/>
    </xf>
    <xf numFmtId="0" fontId="13" fillId="4" borderId="13" xfId="0" applyNumberFormat="1" applyFont="1" applyFill="1" applyBorder="1" applyAlignment="1" applyProtection="1">
      <alignment horizontal="left" vertical="center" indent="1"/>
    </xf>
    <xf numFmtId="0" fontId="13" fillId="4" borderId="16" xfId="0" applyNumberFormat="1" applyFont="1" applyFill="1" applyBorder="1" applyAlignment="1" applyProtection="1">
      <alignment horizontal="left" vertical="center" indent="1"/>
    </xf>
    <xf numFmtId="0" fontId="13" fillId="4" borderId="70" xfId="0" applyNumberFormat="1" applyFont="1" applyFill="1" applyBorder="1" applyAlignment="1" applyProtection="1">
      <alignment horizontal="left" vertical="center" indent="1"/>
    </xf>
    <xf numFmtId="0" fontId="11" fillId="2" borderId="10" xfId="0" applyFont="1" applyFill="1" applyBorder="1" applyAlignment="1" applyProtection="1">
      <alignment horizontal="left" vertical="center"/>
    </xf>
    <xf numFmtId="0" fontId="13" fillId="14" borderId="90" xfId="0" applyFont="1" applyFill="1" applyBorder="1" applyAlignment="1" applyProtection="1">
      <alignment horizontal="left" vertical="center" indent="1"/>
    </xf>
    <xf numFmtId="0" fontId="13" fillId="14" borderId="8" xfId="0" applyFont="1" applyFill="1" applyBorder="1" applyAlignment="1" applyProtection="1">
      <alignment horizontal="left" vertical="center" indent="1"/>
    </xf>
    <xf numFmtId="0" fontId="13" fillId="14" borderId="91" xfId="0" applyFont="1" applyFill="1" applyBorder="1" applyAlignment="1" applyProtection="1">
      <alignment horizontal="left" vertical="center" indent="1"/>
    </xf>
    <xf numFmtId="0" fontId="13" fillId="0" borderId="98" xfId="0" applyFont="1" applyFill="1" applyBorder="1" applyAlignment="1" applyProtection="1">
      <alignment horizontal="right" vertical="center"/>
    </xf>
    <xf numFmtId="0" fontId="13" fillId="0" borderId="200" xfId="0" applyFont="1" applyFill="1" applyBorder="1" applyAlignment="1" applyProtection="1">
      <alignment horizontal="right" vertical="center"/>
    </xf>
    <xf numFmtId="167" fontId="13" fillId="0" borderId="122" xfId="0" applyNumberFormat="1" applyFont="1" applyFill="1" applyBorder="1" applyAlignment="1" applyProtection="1">
      <alignment horizontal="right" vertical="center"/>
    </xf>
    <xf numFmtId="0" fontId="12" fillId="0" borderId="122" xfId="0" applyFont="1" applyBorder="1" applyAlignment="1" applyProtection="1">
      <alignment horizontal="right" vertical="center"/>
    </xf>
    <xf numFmtId="167" fontId="13" fillId="0" borderId="1" xfId="0" applyNumberFormat="1" applyFont="1" applyFill="1" applyBorder="1" applyAlignment="1" applyProtection="1">
      <alignment horizontal="right" vertical="center"/>
      <protection locked="0"/>
    </xf>
    <xf numFmtId="0" fontId="12" fillId="0" borderId="1" xfId="0" applyFont="1" applyBorder="1" applyAlignment="1" applyProtection="1">
      <alignment horizontal="right" vertical="center"/>
      <protection locked="0"/>
    </xf>
    <xf numFmtId="0" fontId="12" fillId="0" borderId="93"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3" fillId="14" borderId="188" xfId="0" applyFont="1" applyFill="1" applyBorder="1" applyAlignment="1" applyProtection="1">
      <alignment horizontal="left" vertical="center" wrapText="1"/>
    </xf>
    <xf numFmtId="0" fontId="0" fillId="14" borderId="88" xfId="0" applyFill="1" applyBorder="1" applyAlignment="1" applyProtection="1">
      <alignment horizontal="left" vertical="center" wrapText="1"/>
    </xf>
    <xf numFmtId="0" fontId="0" fillId="14" borderId="152" xfId="0" applyFill="1" applyBorder="1" applyAlignment="1" applyProtection="1">
      <alignment horizontal="left" vertical="center" wrapText="1"/>
    </xf>
    <xf numFmtId="0" fontId="13" fillId="5" borderId="155" xfId="0" applyFont="1" applyFill="1" applyBorder="1" applyAlignment="1" applyProtection="1">
      <alignment horizontal="left" vertical="center" wrapText="1"/>
    </xf>
    <xf numFmtId="0" fontId="36" fillId="5" borderId="172" xfId="0" applyFont="1" applyFill="1" applyBorder="1" applyAlignment="1" applyProtection="1">
      <alignment wrapText="1"/>
    </xf>
    <xf numFmtId="0" fontId="13" fillId="3" borderId="172" xfId="0" applyFont="1" applyFill="1" applyBorder="1" applyAlignment="1" applyProtection="1">
      <alignment horizontal="left" vertical="center" wrapText="1"/>
      <protection locked="0"/>
    </xf>
    <xf numFmtId="0" fontId="0" fillId="3" borderId="103" xfId="0"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0" borderId="123" xfId="0" applyBorder="1" applyAlignment="1" applyProtection="1">
      <alignment horizontal="left" vertical="center" wrapText="1"/>
      <protection locked="0"/>
    </xf>
    <xf numFmtId="0" fontId="0" fillId="5" borderId="8"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13" fillId="3" borderId="150" xfId="0" applyFont="1" applyFill="1" applyBorder="1" applyAlignment="1" applyProtection="1">
      <alignment vertical="center" wrapText="1"/>
      <protection locked="0"/>
    </xf>
    <xf numFmtId="0" fontId="23" fillId="3" borderId="88" xfId="0" applyFont="1" applyFill="1" applyBorder="1" applyAlignment="1" applyProtection="1">
      <alignment vertical="center" wrapText="1"/>
      <protection locked="0"/>
    </xf>
    <xf numFmtId="0" fontId="23" fillId="3" borderId="89" xfId="0" applyFont="1" applyFill="1" applyBorder="1" applyAlignment="1" applyProtection="1">
      <alignment vertical="center" wrapText="1"/>
      <protection locked="0"/>
    </xf>
    <xf numFmtId="0" fontId="0" fillId="5" borderId="12" xfId="0" applyFill="1" applyBorder="1" applyAlignment="1" applyProtection="1">
      <alignment horizontal="center" vertical="center" wrapText="1"/>
    </xf>
    <xf numFmtId="167" fontId="13" fillId="0" borderId="28" xfId="0" applyNumberFormat="1" applyFont="1" applyFill="1" applyBorder="1" applyAlignment="1" applyProtection="1">
      <alignment horizontal="right" vertical="center"/>
      <protection locked="0"/>
    </xf>
    <xf numFmtId="0" fontId="12" fillId="0" borderId="28" xfId="0" applyFont="1" applyBorder="1" applyAlignment="1" applyProtection="1">
      <alignment horizontal="right" vertical="center"/>
      <protection locked="0"/>
    </xf>
    <xf numFmtId="0" fontId="12" fillId="0" borderId="147" xfId="0" applyFont="1" applyFill="1" applyBorder="1" applyAlignment="1" applyProtection="1">
      <alignment horizontal="left" vertical="center"/>
    </xf>
    <xf numFmtId="0" fontId="12" fillId="0" borderId="28" xfId="0" applyFont="1" applyFill="1" applyBorder="1" applyAlignment="1" applyProtection="1">
      <alignment horizontal="left" vertical="center"/>
    </xf>
    <xf numFmtId="0" fontId="12" fillId="0" borderId="95" xfId="0" applyFont="1" applyFill="1" applyBorder="1" applyAlignment="1" applyProtection="1">
      <alignment horizontal="left" vertical="center"/>
    </xf>
    <xf numFmtId="0" fontId="12" fillId="0" borderId="75" xfId="0" applyFont="1" applyFill="1" applyBorder="1" applyAlignment="1" applyProtection="1">
      <alignment horizontal="left" vertical="center"/>
    </xf>
    <xf numFmtId="167" fontId="13" fillId="0" borderId="75" xfId="0" applyNumberFormat="1" applyFont="1" applyFill="1" applyBorder="1" applyAlignment="1" applyProtection="1">
      <alignment horizontal="right" vertical="center"/>
      <protection locked="0"/>
    </xf>
    <xf numFmtId="0" fontId="12" fillId="0" borderId="75" xfId="0" applyFont="1" applyBorder="1" applyAlignment="1" applyProtection="1">
      <alignment horizontal="right" vertical="center"/>
      <protection locked="0"/>
    </xf>
    <xf numFmtId="0" fontId="13" fillId="5" borderId="155" xfId="0" applyFont="1" applyFill="1" applyBorder="1" applyAlignment="1" applyProtection="1">
      <alignment horizontal="center" vertical="center" wrapText="1"/>
    </xf>
    <xf numFmtId="0" fontId="0" fillId="5" borderId="122" xfId="0" applyFill="1" applyBorder="1" applyAlignment="1" applyProtection="1">
      <alignment horizontal="center" vertical="center" wrapText="1"/>
    </xf>
    <xf numFmtId="0" fontId="0" fillId="0" borderId="122" xfId="0" applyBorder="1" applyAlignment="1" applyProtection="1">
      <alignment vertical="center" wrapText="1"/>
    </xf>
    <xf numFmtId="0" fontId="0" fillId="0" borderId="156" xfId="0" applyBorder="1" applyAlignment="1" applyProtection="1">
      <alignment vertical="center" wrapText="1"/>
    </xf>
    <xf numFmtId="0" fontId="13" fillId="5" borderId="155" xfId="0" applyFont="1" applyFill="1" applyBorder="1" applyAlignment="1" applyProtection="1">
      <alignment horizontal="left" vertical="center"/>
    </xf>
    <xf numFmtId="0" fontId="13" fillId="5" borderId="172" xfId="0" applyFont="1" applyFill="1" applyBorder="1" applyAlignment="1" applyProtection="1">
      <alignment horizontal="left" vertical="center"/>
    </xf>
    <xf numFmtId="0" fontId="13" fillId="5" borderId="122" xfId="0" applyFont="1" applyFill="1" applyBorder="1" applyAlignment="1" applyProtection="1">
      <alignment horizontal="center" vertical="center" wrapText="1"/>
    </xf>
    <xf numFmtId="0" fontId="2" fillId="5" borderId="122" xfId="0" applyFont="1" applyFill="1" applyBorder="1" applyAlignment="1" applyProtection="1">
      <alignment horizontal="center" vertical="center" wrapText="1"/>
    </xf>
    <xf numFmtId="0" fontId="13" fillId="3" borderId="155" xfId="0" applyFont="1" applyFill="1" applyBorder="1" applyAlignment="1" applyProtection="1">
      <alignment horizontal="left" vertical="center" wrapText="1"/>
    </xf>
    <xf numFmtId="0" fontId="2" fillId="3" borderId="172" xfId="0" applyFont="1" applyFill="1" applyBorder="1" applyAlignment="1" applyProtection="1">
      <alignment wrapText="1"/>
    </xf>
    <xf numFmtId="0" fontId="13" fillId="3" borderId="0" xfId="0" applyFont="1" applyFill="1" applyBorder="1" applyAlignment="1" applyProtection="1">
      <alignment horizontal="left" vertical="center"/>
    </xf>
    <xf numFmtId="0" fontId="2" fillId="3" borderId="0" xfId="0" applyFont="1" applyFill="1" applyBorder="1" applyAlignment="1" applyProtection="1">
      <alignment vertical="center"/>
    </xf>
    <xf numFmtId="0" fontId="44" fillId="3" borderId="0" xfId="0" applyFont="1" applyFill="1" applyBorder="1" applyAlignment="1" applyProtection="1">
      <alignment horizontal="left" vertical="center" wrapText="1"/>
    </xf>
    <xf numFmtId="0" fontId="36" fillId="0" borderId="0" xfId="0" applyFont="1" applyAlignment="1"/>
    <xf numFmtId="0" fontId="36" fillId="0" borderId="68" xfId="0" applyFont="1" applyBorder="1" applyAlignment="1"/>
    <xf numFmtId="0" fontId="12" fillId="3" borderId="172" xfId="0" applyFont="1" applyFill="1" applyBorder="1" applyAlignment="1" applyProtection="1">
      <alignment horizontal="left" vertical="center" wrapText="1"/>
      <protection locked="0"/>
    </xf>
    <xf numFmtId="0" fontId="2" fillId="3" borderId="103" xfId="0" applyFont="1" applyFill="1" applyBorder="1" applyAlignment="1" applyProtection="1">
      <alignment horizontal="left" vertical="center" wrapText="1"/>
      <protection locked="0"/>
    </xf>
    <xf numFmtId="0" fontId="2" fillId="0" borderId="103" xfId="0" applyFont="1" applyBorder="1" applyAlignment="1" applyProtection="1">
      <alignment horizontal="left" vertical="center" wrapText="1"/>
      <protection locked="0"/>
    </xf>
    <xf numFmtId="0" fontId="2" fillId="0" borderId="123" xfId="0" applyFont="1" applyBorder="1" applyAlignment="1" applyProtection="1">
      <alignment horizontal="left" vertical="center" wrapText="1"/>
      <protection locked="0"/>
    </xf>
    <xf numFmtId="0" fontId="13" fillId="5" borderId="69" xfId="0" applyFont="1" applyFill="1" applyBorder="1" applyAlignment="1" applyProtection="1">
      <alignment horizontal="center" vertical="center" wrapText="1"/>
    </xf>
    <xf numFmtId="0" fontId="13" fillId="5" borderId="98" xfId="0" applyFont="1" applyFill="1" applyBorder="1" applyAlignment="1" applyProtection="1">
      <alignment horizontal="center" vertical="center" wrapText="1"/>
    </xf>
    <xf numFmtId="0" fontId="26" fillId="0" borderId="32" xfId="0" applyFont="1" applyFill="1" applyBorder="1" applyAlignment="1" applyProtection="1">
      <alignment horizontal="left" vertical="center" wrapText="1"/>
    </xf>
    <xf numFmtId="0" fontId="28" fillId="0" borderId="38" xfId="0" applyFont="1" applyFill="1" applyBorder="1" applyAlignment="1" applyProtection="1">
      <alignment horizontal="left" vertical="center" wrapText="1"/>
    </xf>
    <xf numFmtId="0" fontId="13" fillId="0" borderId="94" xfId="0" applyFont="1" applyFill="1" applyBorder="1" applyAlignment="1" applyProtection="1">
      <alignment horizontal="center" vertical="center" wrapText="1"/>
      <protection locked="0"/>
    </xf>
    <xf numFmtId="0" fontId="13" fillId="0" borderId="150" xfId="0" applyFont="1" applyFill="1" applyBorder="1" applyAlignment="1" applyProtection="1">
      <alignment horizontal="center" vertical="center" wrapText="1"/>
      <protection locked="0"/>
    </xf>
    <xf numFmtId="0" fontId="12" fillId="0" borderId="94" xfId="0" applyFont="1" applyFill="1" applyBorder="1" applyAlignment="1" applyProtection="1">
      <alignment horizontal="left" vertical="center" wrapText="1"/>
      <protection locked="0"/>
    </xf>
    <xf numFmtId="0" fontId="12" fillId="0" borderId="85" xfId="0" applyFont="1" applyFill="1" applyBorder="1" applyAlignment="1" applyProtection="1">
      <alignment horizontal="left" vertical="center" wrapText="1"/>
      <protection locked="0"/>
    </xf>
    <xf numFmtId="0" fontId="12" fillId="0" borderId="96" xfId="0" applyFont="1" applyFill="1" applyBorder="1" applyAlignment="1" applyProtection="1">
      <alignment horizontal="left" vertical="center" wrapText="1"/>
      <protection locked="0"/>
    </xf>
    <xf numFmtId="0" fontId="13" fillId="0" borderId="93"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2" fillId="0" borderId="93"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1" xfId="0" applyFont="1" applyBorder="1" applyAlignment="1" applyProtection="1">
      <alignment horizontal="left" wrapText="1"/>
      <protection locked="0"/>
    </xf>
    <xf numFmtId="0" fontId="12" fillId="0" borderId="4" xfId="0" applyFont="1" applyBorder="1" applyAlignment="1" applyProtection="1">
      <alignment horizontal="left" wrapText="1"/>
      <protection locked="0"/>
    </xf>
    <xf numFmtId="0" fontId="12" fillId="3" borderId="85" xfId="0" applyFont="1" applyFill="1" applyBorder="1" applyAlignment="1" applyProtection="1">
      <alignment horizontal="left" vertical="center" wrapText="1"/>
      <protection locked="0"/>
    </xf>
    <xf numFmtId="0" fontId="12" fillId="0" borderId="85" xfId="0" applyFont="1" applyBorder="1" applyAlignment="1" applyProtection="1">
      <alignment horizontal="left" wrapText="1"/>
      <protection locked="0"/>
    </xf>
    <xf numFmtId="0" fontId="12" fillId="0" borderId="96" xfId="0" applyFont="1" applyBorder="1" applyAlignment="1" applyProtection="1">
      <alignment horizontal="left" wrapText="1"/>
      <protection locked="0"/>
    </xf>
    <xf numFmtId="0" fontId="2" fillId="3" borderId="205" xfId="0" applyFont="1" applyFill="1" applyBorder="1" applyAlignment="1" applyProtection="1">
      <alignment horizontal="left" vertical="center" wrapText="1"/>
    </xf>
    <xf numFmtId="0" fontId="0" fillId="3" borderId="205" xfId="0" applyFill="1" applyBorder="1" applyAlignment="1" applyProtection="1">
      <alignment horizontal="left" vertical="center" wrapText="1"/>
    </xf>
    <xf numFmtId="0" fontId="0" fillId="3" borderId="206" xfId="0" applyFill="1" applyBorder="1" applyAlignment="1" applyProtection="1">
      <alignment horizontal="left" vertical="center" wrapText="1"/>
    </xf>
    <xf numFmtId="0" fontId="2" fillId="3" borderId="54" xfId="0" applyFont="1" applyFill="1" applyBorder="1" applyAlignment="1" applyProtection="1">
      <alignment vertical="center" wrapText="1"/>
    </xf>
    <xf numFmtId="0" fontId="0" fillId="3" borderId="54" xfId="0" applyFill="1" applyBorder="1" applyAlignment="1" applyProtection="1">
      <alignment vertical="center" wrapText="1"/>
    </xf>
    <xf numFmtId="0" fontId="2" fillId="3" borderId="0" xfId="0" applyFont="1" applyFill="1" applyBorder="1" applyAlignment="1" applyProtection="1">
      <alignment vertical="center" wrapText="1"/>
    </xf>
    <xf numFmtId="0" fontId="0" fillId="3" borderId="0" xfId="0" applyFill="1" applyBorder="1" applyAlignment="1" applyProtection="1">
      <alignment vertical="center" wrapText="1"/>
    </xf>
    <xf numFmtId="0" fontId="2" fillId="3" borderId="188" xfId="0" applyFont="1" applyFill="1" applyBorder="1" applyAlignment="1" applyProtection="1">
      <alignment horizontal="left" vertical="center" wrapText="1"/>
    </xf>
    <xf numFmtId="0" fontId="2" fillId="3" borderId="152" xfId="0" applyFont="1" applyFill="1" applyBorder="1" applyAlignment="1" applyProtection="1">
      <alignment horizontal="left" vertical="center" wrapText="1"/>
    </xf>
    <xf numFmtId="0" fontId="2" fillId="3" borderId="54" xfId="0" applyFont="1" applyFill="1" applyBorder="1" applyAlignment="1" applyProtection="1">
      <alignment horizontal="left" vertical="center" wrapText="1"/>
    </xf>
    <xf numFmtId="0" fontId="0" fillId="3" borderId="54" xfId="0" applyFill="1" applyBorder="1" applyAlignment="1" applyProtection="1">
      <alignment horizontal="left" vertical="center" wrapText="1"/>
    </xf>
    <xf numFmtId="0" fontId="0" fillId="3" borderId="199" xfId="0" applyFill="1" applyBorder="1" applyAlignment="1" applyProtection="1">
      <alignment horizontal="left" vertical="center" wrapText="1"/>
    </xf>
    <xf numFmtId="0" fontId="12" fillId="0" borderId="27" xfId="0" applyFont="1" applyBorder="1" applyAlignment="1" applyProtection="1">
      <alignment horizontal="left"/>
      <protection locked="0"/>
    </xf>
    <xf numFmtId="0" fontId="12" fillId="0" borderId="148" xfId="0" applyFont="1" applyBorder="1" applyAlignment="1" applyProtection="1">
      <alignment horizontal="left"/>
      <protection locked="0"/>
    </xf>
    <xf numFmtId="0" fontId="0" fillId="3" borderId="16"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23" fillId="3" borderId="3" xfId="0" applyFont="1" applyFill="1" applyBorder="1" applyAlignment="1" applyProtection="1">
      <alignment horizontal="center" vertical="center" wrapText="1"/>
    </xf>
    <xf numFmtId="0" fontId="36" fillId="3" borderId="3" xfId="0" applyFont="1" applyFill="1" applyBorder="1" applyAlignment="1" applyProtection="1">
      <alignment wrapText="1"/>
    </xf>
    <xf numFmtId="0" fontId="36" fillId="3" borderId="12" xfId="0" applyFont="1" applyFill="1" applyBorder="1" applyAlignment="1" applyProtection="1">
      <alignment wrapText="1"/>
    </xf>
    <xf numFmtId="0" fontId="12" fillId="3" borderId="148" xfId="0" applyFont="1" applyFill="1" applyBorder="1" applyAlignment="1" applyProtection="1">
      <alignment horizontal="left" vertical="center" wrapText="1"/>
      <protection locked="0"/>
    </xf>
    <xf numFmtId="0" fontId="12" fillId="3" borderId="154"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xf>
    <xf numFmtId="0" fontId="32" fillId="3" borderId="100" xfId="0" applyFont="1" applyFill="1" applyBorder="1" applyAlignment="1" applyProtection="1">
      <alignment horizontal="left" vertical="center" wrapText="1"/>
    </xf>
    <xf numFmtId="0" fontId="32" fillId="3" borderId="27" xfId="0" applyFont="1" applyFill="1" applyBorder="1" applyAlignment="1" applyProtection="1">
      <alignment horizontal="left" vertical="center" wrapText="1"/>
    </xf>
    <xf numFmtId="0" fontId="32" fillId="3" borderId="25" xfId="0" applyFont="1" applyFill="1" applyBorder="1" applyAlignment="1" applyProtection="1">
      <alignment horizontal="left" vertical="center" wrapText="1"/>
    </xf>
    <xf numFmtId="0" fontId="0" fillId="3" borderId="9" xfId="0" applyFill="1" applyBorder="1" applyAlignment="1" applyProtection="1">
      <alignment vertical="center" wrapText="1"/>
    </xf>
    <xf numFmtId="0" fontId="2" fillId="3" borderId="16" xfId="0" applyFont="1" applyFill="1" applyBorder="1" applyAlignment="1" applyProtection="1">
      <alignment vertical="center" wrapText="1"/>
    </xf>
    <xf numFmtId="0" fontId="0" fillId="3" borderId="16" xfId="0" applyFill="1" applyBorder="1" applyAlignment="1" applyProtection="1">
      <alignment vertical="center" wrapText="1"/>
    </xf>
    <xf numFmtId="0" fontId="0" fillId="3" borderId="6" xfId="0" applyFill="1" applyBorder="1" applyAlignment="1" applyProtection="1">
      <alignment vertical="center" wrapText="1"/>
    </xf>
    <xf numFmtId="3" fontId="12" fillId="4" borderId="28" xfId="0" applyNumberFormat="1" applyFont="1" applyFill="1" applyBorder="1" applyAlignment="1" applyProtection="1">
      <alignment horizontal="center" vertical="center"/>
    </xf>
    <xf numFmtId="0" fontId="12" fillId="0" borderId="75" xfId="0" applyFont="1" applyBorder="1" applyAlignment="1" applyProtection="1">
      <alignment vertical="center"/>
    </xf>
    <xf numFmtId="0" fontId="0" fillId="0" borderId="100" xfId="0" applyBorder="1" applyAlignment="1" applyProtection="1">
      <alignment vertical="center" wrapText="1"/>
    </xf>
    <xf numFmtId="0" fontId="0" fillId="0" borderId="27" xfId="0" applyBorder="1" applyAlignment="1" applyProtection="1">
      <alignment vertical="center" wrapText="1"/>
    </xf>
    <xf numFmtId="3" fontId="12" fillId="3" borderId="18" xfId="0" applyNumberFormat="1" applyFont="1" applyFill="1" applyBorder="1" applyAlignment="1" applyProtection="1">
      <alignment horizontal="center" vertical="center"/>
      <protection locked="0"/>
    </xf>
    <xf numFmtId="3" fontId="12" fillId="3" borderId="22" xfId="0" applyNumberFormat="1" applyFont="1" applyFill="1" applyBorder="1" applyAlignment="1" applyProtection="1">
      <alignment horizontal="center" vertical="center"/>
      <protection locked="0"/>
    </xf>
    <xf numFmtId="0" fontId="17" fillId="2" borderId="11" xfId="0" applyFont="1" applyFill="1" applyBorder="1" applyAlignment="1" applyProtection="1">
      <alignment horizontal="left" wrapText="1"/>
    </xf>
    <xf numFmtId="0" fontId="0" fillId="0" borderId="0" xfId="0" applyAlignment="1" applyProtection="1">
      <alignment wrapText="1"/>
    </xf>
    <xf numFmtId="0" fontId="11" fillId="2" borderId="49" xfId="0" applyFont="1" applyFill="1" applyBorder="1" applyAlignment="1" applyProtection="1">
      <alignment horizontal="left"/>
    </xf>
    <xf numFmtId="0" fontId="13" fillId="4" borderId="14" xfId="0" applyFont="1" applyFill="1" applyBorder="1" applyAlignment="1" applyProtection="1">
      <alignment horizontal="left" indent="1"/>
    </xf>
    <xf numFmtId="0" fontId="13" fillId="4" borderId="49" xfId="0" applyFont="1" applyFill="1" applyBorder="1" applyAlignment="1" applyProtection="1">
      <alignment horizontal="left" indent="1"/>
    </xf>
    <xf numFmtId="0" fontId="13" fillId="4" borderId="87" xfId="0" applyFont="1" applyFill="1" applyBorder="1" applyAlignment="1" applyProtection="1">
      <alignment horizontal="left" indent="1"/>
    </xf>
    <xf numFmtId="0" fontId="15" fillId="4" borderId="150" xfId="0" applyFont="1" applyFill="1" applyBorder="1" applyAlignment="1" applyProtection="1">
      <alignment horizontal="left" indent="1"/>
    </xf>
    <xf numFmtId="0" fontId="15" fillId="4" borderId="88" xfId="0" applyFont="1" applyFill="1" applyBorder="1" applyAlignment="1" applyProtection="1">
      <alignment horizontal="left" indent="1"/>
    </xf>
    <xf numFmtId="0" fontId="15" fillId="4" borderId="89" xfId="0" applyFont="1" applyFill="1" applyBorder="1" applyAlignment="1" applyProtection="1">
      <alignment horizontal="left" indent="1"/>
    </xf>
    <xf numFmtId="0" fontId="23" fillId="0" borderId="17" xfId="17" applyFont="1" applyBorder="1" applyAlignment="1">
      <alignment horizontal="center"/>
    </xf>
    <xf numFmtId="0" fontId="23" fillId="0" borderId="0" xfId="17" applyFont="1" applyBorder="1" applyAlignment="1">
      <alignment horizontal="center"/>
    </xf>
    <xf numFmtId="0" fontId="23" fillId="0" borderId="78" xfId="17" applyFont="1" applyBorder="1" applyAlignment="1">
      <alignment horizontal="center"/>
    </xf>
    <xf numFmtId="0" fontId="23" fillId="0" borderId="207" xfId="17" applyFont="1" applyBorder="1" applyAlignment="1">
      <alignment horizontal="center"/>
    </xf>
    <xf numFmtId="0" fontId="13" fillId="3" borderId="0" xfId="0" applyFont="1" applyFill="1" applyBorder="1" applyAlignment="1" applyProtection="1">
      <alignment horizontal="left" wrapText="1"/>
    </xf>
    <xf numFmtId="0" fontId="2" fillId="3" borderId="68" xfId="0" applyFont="1" applyFill="1" applyBorder="1" applyAlignment="1">
      <alignment wrapText="1"/>
    </xf>
    <xf numFmtId="0" fontId="12" fillId="4" borderId="172" xfId="0" applyFont="1" applyFill="1" applyBorder="1" applyAlignment="1" applyProtection="1">
      <alignment horizontal="left" vertical="center"/>
    </xf>
    <xf numFmtId="0" fontId="12" fillId="4" borderId="103" xfId="0" applyFont="1" applyFill="1" applyBorder="1" applyAlignment="1" applyProtection="1">
      <alignment horizontal="left" vertical="center"/>
    </xf>
    <xf numFmtId="0" fontId="11" fillId="0" borderId="34" xfId="0" applyFont="1" applyFill="1" applyBorder="1" applyAlignment="1" applyProtection="1">
      <alignment horizontal="center"/>
    </xf>
    <xf numFmtId="0" fontId="85" fillId="4" borderId="23" xfId="0" applyNumberFormat="1" applyFont="1" applyFill="1" applyBorder="1" applyAlignment="1" applyProtection="1">
      <alignment horizontal="left" vertical="center" wrapText="1"/>
    </xf>
    <xf numFmtId="0" fontId="85" fillId="4" borderId="27" xfId="0" applyNumberFormat="1" applyFont="1" applyFill="1" applyBorder="1" applyAlignment="1" applyProtection="1">
      <alignment horizontal="left" vertical="center" wrapText="1"/>
    </xf>
    <xf numFmtId="0" fontId="85" fillId="4" borderId="25" xfId="0" applyNumberFormat="1" applyFont="1" applyFill="1" applyBorder="1" applyAlignment="1" applyProtection="1">
      <alignment horizontal="left" vertical="center" wrapText="1"/>
    </xf>
    <xf numFmtId="0" fontId="85" fillId="4" borderId="97" xfId="0" applyNumberFormat="1" applyFont="1" applyFill="1" applyBorder="1" applyAlignment="1" applyProtection="1">
      <alignment horizontal="left" vertical="center" wrapText="1"/>
    </xf>
    <xf numFmtId="0" fontId="85" fillId="4" borderId="54" xfId="0" applyNumberFormat="1" applyFont="1" applyFill="1" applyBorder="1" applyAlignment="1" applyProtection="1">
      <alignment horizontal="left" vertical="center" wrapText="1"/>
    </xf>
    <xf numFmtId="0" fontId="85" fillId="4" borderId="199" xfId="0" applyNumberFormat="1" applyFont="1" applyFill="1" applyBorder="1" applyAlignment="1" applyProtection="1">
      <alignment horizontal="left" vertical="center" wrapText="1"/>
    </xf>
    <xf numFmtId="0" fontId="12" fillId="3" borderId="16"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3" borderId="13"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3" fillId="0" borderId="23" xfId="0" applyFont="1" applyFill="1" applyBorder="1" applyAlignment="1" applyProtection="1">
      <alignment horizontal="left" vertical="center" wrapText="1" indent="1"/>
    </xf>
    <xf numFmtId="0" fontId="13" fillId="0" borderId="27" xfId="0" applyFont="1" applyFill="1" applyBorder="1" applyAlignment="1" applyProtection="1">
      <alignment horizontal="left" vertical="center" wrapText="1" indent="1"/>
    </xf>
    <xf numFmtId="0" fontId="13" fillId="0" borderId="25" xfId="0" applyFont="1" applyFill="1" applyBorder="1" applyAlignment="1" applyProtection="1">
      <alignment horizontal="left" vertical="center" wrapText="1" indent="1"/>
    </xf>
    <xf numFmtId="0" fontId="13" fillId="0" borderId="97" xfId="0" applyFont="1" applyFill="1" applyBorder="1" applyAlignment="1" applyProtection="1">
      <alignment horizontal="left" vertical="center" wrapText="1" indent="1"/>
    </xf>
    <xf numFmtId="0" fontId="13" fillId="0" borderId="54" xfId="0" applyFont="1" applyFill="1" applyBorder="1" applyAlignment="1" applyProtection="1">
      <alignment horizontal="left" vertical="center" wrapText="1" indent="1"/>
    </xf>
    <xf numFmtId="0" fontId="13" fillId="0" borderId="199" xfId="0" applyFont="1" applyFill="1" applyBorder="1" applyAlignment="1" applyProtection="1">
      <alignment horizontal="left" vertical="center" wrapText="1" indent="1"/>
    </xf>
    <xf numFmtId="0" fontId="15" fillId="0" borderId="208" xfId="0" applyFont="1" applyFill="1" applyBorder="1" applyAlignment="1" applyProtection="1">
      <alignment horizontal="center" vertical="center"/>
    </xf>
    <xf numFmtId="0" fontId="15" fillId="0" borderId="209" xfId="0" applyFont="1" applyFill="1" applyBorder="1" applyAlignment="1" applyProtection="1">
      <alignment horizontal="center" vertical="center"/>
    </xf>
    <xf numFmtId="0" fontId="15" fillId="0" borderId="210" xfId="0" applyFont="1" applyFill="1" applyBorder="1" applyAlignment="1" applyProtection="1">
      <alignment horizontal="center" vertical="center"/>
    </xf>
    <xf numFmtId="0" fontId="12" fillId="3" borderId="111" xfId="0" applyFont="1" applyFill="1" applyBorder="1" applyAlignment="1" applyProtection="1">
      <alignment horizontal="left"/>
    </xf>
    <xf numFmtId="0" fontId="12" fillId="3" borderId="84" xfId="0" applyFont="1" applyFill="1" applyBorder="1" applyAlignment="1" applyProtection="1">
      <alignment horizontal="left"/>
    </xf>
    <xf numFmtId="0" fontId="12" fillId="4" borderId="23" xfId="0" applyFont="1" applyFill="1" applyBorder="1" applyAlignment="1" applyProtection="1">
      <alignment horizontal="left" vertical="center" wrapText="1"/>
    </xf>
    <xf numFmtId="0" fontId="12" fillId="4" borderId="27" xfId="0" applyFont="1" applyFill="1" applyBorder="1" applyAlignment="1" applyProtection="1">
      <alignment horizontal="left" vertical="center" wrapText="1"/>
    </xf>
    <xf numFmtId="0" fontId="12" fillId="4" borderId="25" xfId="0" applyFont="1" applyFill="1" applyBorder="1" applyAlignment="1" applyProtection="1">
      <alignment horizontal="left" vertical="center" wrapText="1"/>
    </xf>
    <xf numFmtId="0" fontId="12" fillId="4" borderId="97" xfId="0" applyFont="1" applyFill="1" applyBorder="1" applyAlignment="1" applyProtection="1">
      <alignment horizontal="left" vertical="center" wrapText="1"/>
    </xf>
    <xf numFmtId="0" fontId="12" fillId="4" borderId="54" xfId="0" applyFont="1" applyFill="1" applyBorder="1" applyAlignment="1" applyProtection="1">
      <alignment horizontal="left" vertical="center" wrapText="1"/>
    </xf>
    <xf numFmtId="0" fontId="12" fillId="4" borderId="199" xfId="0" applyFont="1" applyFill="1" applyBorder="1" applyAlignment="1" applyProtection="1">
      <alignment horizontal="left" vertical="center" wrapText="1"/>
    </xf>
    <xf numFmtId="0" fontId="12" fillId="0" borderId="24" xfId="0" applyFont="1" applyFill="1" applyBorder="1" applyAlignment="1" applyProtection="1">
      <alignment horizontal="left" wrapText="1"/>
    </xf>
    <xf numFmtId="0" fontId="12" fillId="0" borderId="205" xfId="0" applyFont="1" applyFill="1" applyBorder="1" applyAlignment="1" applyProtection="1">
      <alignment horizontal="left" wrapText="1"/>
    </xf>
    <xf numFmtId="0" fontId="12" fillId="3" borderId="76" xfId="0" applyFont="1" applyFill="1" applyBorder="1" applyAlignment="1" applyProtection="1">
      <alignment horizontal="left" vertical="center" wrapText="1"/>
      <protection locked="0"/>
    </xf>
    <xf numFmtId="0" fontId="12" fillId="3" borderId="49" xfId="0" applyFont="1" applyFill="1" applyBorder="1" applyAlignment="1" applyProtection="1">
      <alignment horizontal="left" vertical="center" wrapText="1"/>
      <protection locked="0"/>
    </xf>
    <xf numFmtId="0" fontId="12" fillId="3" borderId="87" xfId="0" applyFont="1" applyFill="1" applyBorder="1" applyAlignment="1" applyProtection="1">
      <alignment horizontal="left" vertical="center" wrapText="1"/>
      <protection locked="0"/>
    </xf>
    <xf numFmtId="0" fontId="12" fillId="3" borderId="11" xfId="0" applyFont="1" applyFill="1" applyBorder="1" applyAlignment="1" applyProtection="1">
      <alignment horizontal="left" vertical="center" wrapText="1"/>
      <protection locked="0"/>
    </xf>
    <xf numFmtId="0" fontId="12" fillId="3" borderId="117" xfId="0" applyFont="1" applyFill="1" applyBorder="1" applyAlignment="1" applyProtection="1">
      <alignment horizontal="left" vertical="center" wrapText="1"/>
      <protection locked="0"/>
    </xf>
    <xf numFmtId="0" fontId="12" fillId="3" borderId="7" xfId="0" applyFont="1" applyFill="1" applyBorder="1" applyAlignment="1" applyProtection="1">
      <alignment horizontal="left" vertical="center" wrapText="1"/>
      <protection locked="0"/>
    </xf>
    <xf numFmtId="0" fontId="12" fillId="3" borderId="10" xfId="0" applyFont="1" applyFill="1" applyBorder="1" applyAlignment="1" applyProtection="1">
      <alignment horizontal="left" vertical="center" wrapText="1"/>
      <protection locked="0"/>
    </xf>
    <xf numFmtId="0" fontId="12" fillId="3" borderId="142" xfId="0" applyFont="1" applyFill="1" applyBorder="1" applyAlignment="1" applyProtection="1">
      <alignment horizontal="left" vertical="center" wrapText="1"/>
      <protection locked="0"/>
    </xf>
    <xf numFmtId="0" fontId="12" fillId="0" borderId="211" xfId="0" applyFont="1" applyFill="1" applyBorder="1" applyAlignment="1" applyProtection="1">
      <alignment horizontal="left" wrapText="1"/>
    </xf>
    <xf numFmtId="0" fontId="12" fillId="0" borderId="27" xfId="0" applyFont="1" applyFill="1" applyBorder="1" applyAlignment="1" applyProtection="1">
      <alignment horizontal="left" wrapText="1"/>
    </xf>
    <xf numFmtId="0" fontId="12" fillId="0" borderId="25" xfId="0" applyFont="1" applyFill="1" applyBorder="1" applyAlignment="1" applyProtection="1">
      <alignment horizontal="left" wrapText="1"/>
    </xf>
    <xf numFmtId="0" fontId="12" fillId="0" borderId="212" xfId="0" applyFont="1" applyFill="1" applyBorder="1" applyAlignment="1" applyProtection="1">
      <alignment horizontal="left" wrapText="1"/>
    </xf>
    <xf numFmtId="0" fontId="12" fillId="0" borderId="213" xfId="0" applyFont="1" applyFill="1" applyBorder="1" applyAlignment="1" applyProtection="1">
      <alignment horizontal="left" wrapText="1"/>
    </xf>
    <xf numFmtId="0" fontId="12" fillId="0" borderId="214" xfId="0" applyFont="1" applyFill="1" applyBorder="1" applyAlignment="1" applyProtection="1">
      <alignment horizontal="left" wrapText="1"/>
    </xf>
    <xf numFmtId="0" fontId="12" fillId="3" borderId="13" xfId="0" applyFont="1" applyFill="1" applyBorder="1" applyAlignment="1" applyProtection="1">
      <alignment horizontal="center" vertical="center" wrapText="1"/>
      <protection locked="0"/>
    </xf>
    <xf numFmtId="0" fontId="12" fillId="3" borderId="16"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3" fillId="3" borderId="41" xfId="0" applyFont="1" applyFill="1" applyBorder="1" applyAlignment="1" applyProtection="1">
      <alignment horizontal="center" vertical="center"/>
    </xf>
    <xf numFmtId="0" fontId="13" fillId="3" borderId="38" xfId="0" applyFont="1" applyFill="1" applyBorder="1" applyAlignment="1" applyProtection="1">
      <alignment horizontal="center" vertical="center"/>
    </xf>
    <xf numFmtId="0" fontId="13" fillId="3" borderId="48" xfId="0" applyFont="1" applyFill="1" applyBorder="1" applyAlignment="1" applyProtection="1">
      <alignment horizontal="center" vertical="center"/>
    </xf>
    <xf numFmtId="0" fontId="12" fillId="0" borderId="111" xfId="0" applyFont="1" applyFill="1" applyBorder="1" applyAlignment="1" applyProtection="1">
      <alignment horizontal="left"/>
    </xf>
    <xf numFmtId="0" fontId="12" fillId="0" borderId="84" xfId="0" applyFont="1" applyFill="1" applyBorder="1" applyAlignment="1" applyProtection="1">
      <alignment horizontal="left"/>
    </xf>
    <xf numFmtId="0" fontId="23" fillId="5" borderId="13" xfId="0" applyFont="1" applyFill="1" applyBorder="1" applyAlignment="1" applyProtection="1">
      <alignment horizontal="center" vertical="center"/>
    </xf>
    <xf numFmtId="0" fontId="23" fillId="5" borderId="16" xfId="0" applyFont="1" applyFill="1" applyBorder="1" applyAlignment="1" applyProtection="1">
      <alignment horizontal="center" vertical="center"/>
    </xf>
    <xf numFmtId="0" fontId="23" fillId="5" borderId="6" xfId="0" applyFont="1" applyFill="1" applyBorder="1" applyAlignment="1" applyProtection="1">
      <alignment horizontal="center" vertical="center"/>
    </xf>
    <xf numFmtId="0" fontId="23" fillId="5" borderId="13" xfId="0" applyFont="1" applyFill="1" applyBorder="1" applyAlignment="1" applyProtection="1">
      <alignment horizontal="center" vertical="center" wrapText="1"/>
    </xf>
    <xf numFmtId="0" fontId="23" fillId="5" borderId="16" xfId="0" applyFont="1" applyFill="1" applyBorder="1" applyAlignment="1" applyProtection="1">
      <alignment horizontal="center" vertical="center" wrapText="1"/>
    </xf>
    <xf numFmtId="0" fontId="23" fillId="5" borderId="6" xfId="0" applyFont="1" applyFill="1" applyBorder="1" applyAlignment="1" applyProtection="1">
      <alignment horizontal="center" vertical="center" wrapText="1"/>
    </xf>
    <xf numFmtId="0" fontId="12" fillId="3" borderId="67" xfId="0" applyFont="1" applyFill="1" applyBorder="1" applyAlignment="1" applyProtection="1">
      <alignment horizontal="left" vertical="center" wrapText="1"/>
      <protection locked="0"/>
    </xf>
    <xf numFmtId="0" fontId="12" fillId="3" borderId="35" xfId="0" applyFont="1" applyFill="1" applyBorder="1" applyAlignment="1" applyProtection="1">
      <alignment horizontal="left" vertical="center" wrapText="1"/>
      <protection locked="0"/>
    </xf>
    <xf numFmtId="0" fontId="12" fillId="3" borderId="217"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xf>
    <xf numFmtId="0" fontId="40" fillId="3" borderId="0" xfId="0" applyFont="1" applyFill="1" applyBorder="1" applyAlignment="1" applyProtection="1">
      <alignment horizontal="left" vertical="center"/>
    </xf>
    <xf numFmtId="0" fontId="11" fillId="20" borderId="215" xfId="0" applyFont="1" applyFill="1" applyBorder="1" applyAlignment="1" applyProtection="1">
      <alignment horizontal="left" vertical="center"/>
    </xf>
    <xf numFmtId="0" fontId="40" fillId="20" borderId="40" xfId="0" applyFont="1" applyFill="1" applyBorder="1" applyAlignment="1" applyProtection="1">
      <alignment horizontal="left" vertical="center"/>
    </xf>
    <xf numFmtId="0" fontId="40" fillId="20" borderId="216" xfId="0" applyFont="1" applyFill="1" applyBorder="1" applyAlignment="1" applyProtection="1">
      <alignment horizontal="left" vertical="center"/>
    </xf>
    <xf numFmtId="0" fontId="40" fillId="20" borderId="218" xfId="0" applyFont="1" applyFill="1" applyBorder="1" applyAlignment="1" applyProtection="1">
      <alignment vertical="center"/>
    </xf>
    <xf numFmtId="0" fontId="0" fillId="0" borderId="50" xfId="0" applyBorder="1" applyAlignment="1" applyProtection="1"/>
    <xf numFmtId="0" fontId="0" fillId="0" borderId="219" xfId="0" applyBorder="1" applyAlignment="1" applyProtection="1"/>
    <xf numFmtId="0" fontId="11" fillId="20" borderId="173" xfId="0" applyFont="1" applyFill="1" applyBorder="1" applyAlignment="1" applyProtection="1">
      <alignment horizontal="left"/>
    </xf>
    <xf numFmtId="0" fontId="46" fillId="0" borderId="120" xfId="0" applyFont="1" applyBorder="1" applyAlignment="1" applyProtection="1">
      <alignment horizontal="left"/>
    </xf>
    <xf numFmtId="0" fontId="46" fillId="0" borderId="15" xfId="0" applyFont="1" applyBorder="1" applyAlignment="1" applyProtection="1">
      <alignment horizontal="left"/>
    </xf>
    <xf numFmtId="0" fontId="6" fillId="3" borderId="0" xfId="0" applyFont="1" applyFill="1" applyBorder="1" applyAlignment="1" applyProtection="1">
      <alignment horizontal="left"/>
    </xf>
    <xf numFmtId="0" fontId="0" fillId="3" borderId="0" xfId="0" applyFill="1" applyBorder="1" applyAlignment="1" applyProtection="1">
      <alignment horizontal="left"/>
    </xf>
    <xf numFmtId="2" fontId="44" fillId="0" borderId="0" xfId="0" applyNumberFormat="1" applyFont="1" applyFill="1" applyBorder="1" applyAlignment="1" applyProtection="1">
      <alignment horizontal="left" wrapText="1" indent="2"/>
    </xf>
    <xf numFmtId="2" fontId="54" fillId="0" borderId="0" xfId="0" applyNumberFormat="1" applyFont="1" applyFill="1" applyBorder="1" applyAlignment="1" applyProtection="1">
      <alignment horizontal="left" wrapText="1" indent="2"/>
    </xf>
    <xf numFmtId="0" fontId="28" fillId="3" borderId="54" xfId="0" applyFont="1" applyFill="1" applyBorder="1" applyAlignment="1" applyProtection="1">
      <alignment horizontal="left" vertical="center"/>
      <protection locked="0"/>
    </xf>
    <xf numFmtId="0" fontId="18" fillId="3" borderId="0" xfId="0" applyFont="1" applyFill="1" applyBorder="1" applyAlignment="1" applyProtection="1">
      <alignment horizontal="left" wrapText="1"/>
    </xf>
    <xf numFmtId="0" fontId="12" fillId="3" borderId="0" xfId="0" applyFont="1" applyFill="1" applyAlignment="1" applyProtection="1">
      <alignment horizontal="left" wrapText="1" indent="1"/>
    </xf>
    <xf numFmtId="0" fontId="12" fillId="3" borderId="0" xfId="0" applyFont="1" applyFill="1" applyBorder="1" applyAlignment="1" applyProtection="1">
      <alignment horizontal="left" wrapText="1"/>
    </xf>
    <xf numFmtId="0" fontId="36" fillId="0" borderId="0" xfId="0" applyFont="1" applyBorder="1" applyAlignment="1">
      <alignment horizontal="left" wrapText="1"/>
    </xf>
    <xf numFmtId="0" fontId="0" fillId="0" borderId="23"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199" xfId="0" applyFill="1" applyBorder="1" applyAlignment="1" applyProtection="1">
      <alignment horizontal="left" vertical="center" wrapText="1"/>
      <protection locked="0"/>
    </xf>
    <xf numFmtId="0" fontId="4" fillId="3" borderId="13" xfId="0" applyFont="1" applyFill="1" applyBorder="1" applyAlignment="1" applyProtection="1">
      <alignment horizontal="left"/>
    </xf>
    <xf numFmtId="0" fontId="4" fillId="3" borderId="16" xfId="0" applyFont="1" applyFill="1" applyBorder="1" applyAlignment="1" applyProtection="1">
      <alignment horizontal="left"/>
    </xf>
    <xf numFmtId="0" fontId="4" fillId="3" borderId="6" xfId="0" applyFont="1" applyFill="1" applyBorder="1" applyAlignment="1" applyProtection="1">
      <alignment horizontal="left"/>
    </xf>
    <xf numFmtId="0" fontId="12" fillId="3" borderId="75" xfId="0" applyFont="1" applyFill="1" applyBorder="1" applyAlignment="1" applyProtection="1">
      <alignment horizontal="left" vertical="top" wrapText="1"/>
      <protection locked="0"/>
    </xf>
    <xf numFmtId="0" fontId="92" fillId="3" borderId="0" xfId="0" applyFont="1" applyFill="1" applyAlignment="1" applyProtection="1">
      <alignment horizontal="left" wrapText="1"/>
    </xf>
    <xf numFmtId="0" fontId="11" fillId="2" borderId="121"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4" fillId="3" borderId="1" xfId="0" applyFont="1" applyFill="1" applyBorder="1" applyAlignment="1" applyProtection="1">
      <alignment horizontal="center"/>
    </xf>
    <xf numFmtId="0" fontId="88" fillId="3" borderId="0" xfId="0" applyFont="1" applyFill="1" applyAlignment="1" applyProtection="1">
      <alignment horizontal="center" vertical="center" wrapText="1"/>
    </xf>
    <xf numFmtId="0" fontId="13" fillId="4" borderId="172" xfId="0" applyFont="1" applyFill="1" applyBorder="1" applyAlignment="1" applyProtection="1">
      <alignment horizontal="left" vertical="center" wrapText="1" indent="1"/>
    </xf>
    <xf numFmtId="0" fontId="13" fillId="4" borderId="103" xfId="0" applyFont="1" applyFill="1" applyBorder="1" applyAlignment="1" applyProtection="1">
      <alignment horizontal="left" vertical="center" wrapText="1" indent="1"/>
    </xf>
    <xf numFmtId="0" fontId="13" fillId="4" borderId="123" xfId="0" applyFont="1" applyFill="1" applyBorder="1" applyAlignment="1" applyProtection="1">
      <alignment horizontal="left" vertical="center" wrapText="1" indent="1"/>
    </xf>
    <xf numFmtId="0" fontId="26" fillId="3" borderId="0" xfId="0" applyFont="1" applyFill="1" applyBorder="1" applyAlignment="1" applyProtection="1">
      <alignment horizontal="left"/>
    </xf>
    <xf numFmtId="0" fontId="28" fillId="3" borderId="54" xfId="0" applyFont="1" applyFill="1" applyBorder="1" applyAlignment="1" applyProtection="1">
      <alignment horizontal="left"/>
      <protection locked="0"/>
    </xf>
    <xf numFmtId="0" fontId="4" fillId="3" borderId="23" xfId="0" applyFont="1" applyFill="1" applyBorder="1" applyAlignment="1" applyProtection="1">
      <alignment horizontal="left" vertical="center" wrapText="1"/>
      <protection locked="0"/>
    </xf>
    <xf numFmtId="0" fontId="4" fillId="3" borderId="27"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3" borderId="97" xfId="0" applyFont="1" applyFill="1" applyBorder="1" applyAlignment="1" applyProtection="1">
      <alignment horizontal="left" vertical="center" wrapText="1"/>
      <protection locked="0"/>
    </xf>
    <xf numFmtId="0" fontId="4" fillId="3" borderId="54" xfId="0" applyFont="1" applyFill="1" applyBorder="1" applyAlignment="1" applyProtection="1">
      <alignment horizontal="left" vertical="center" wrapText="1"/>
      <protection locked="0"/>
    </xf>
    <xf numFmtId="0" fontId="4" fillId="3" borderId="199" xfId="0" applyFont="1" applyFill="1" applyBorder="1" applyAlignment="1" applyProtection="1">
      <alignment horizontal="left" vertical="center" wrapText="1"/>
      <protection locked="0"/>
    </xf>
    <xf numFmtId="0" fontId="93" fillId="3" borderId="27" xfId="0" applyFont="1" applyFill="1" applyBorder="1" applyAlignment="1" applyProtection="1">
      <alignment horizontal="left" wrapText="1"/>
      <protection locked="0"/>
    </xf>
    <xf numFmtId="0" fontId="18" fillId="3" borderId="0" xfId="0" applyFont="1" applyFill="1" applyBorder="1" applyAlignment="1" applyProtection="1">
      <alignment horizontal="center" wrapText="1"/>
    </xf>
    <xf numFmtId="0" fontId="12" fillId="3" borderId="54" xfId="0" applyFont="1" applyFill="1" applyBorder="1" applyAlignment="1" applyProtection="1">
      <alignment horizontal="left" vertical="center"/>
    </xf>
    <xf numFmtId="0" fontId="12" fillId="3" borderId="1" xfId="0" applyFont="1" applyFill="1" applyBorder="1" applyAlignment="1" applyProtection="1">
      <alignment horizontal="left" vertical="top" wrapText="1"/>
      <protection locked="0"/>
    </xf>
    <xf numFmtId="0" fontId="12" fillId="3" borderId="13" xfId="0" applyFont="1" applyFill="1" applyBorder="1" applyAlignment="1" applyProtection="1">
      <alignment vertical="center" wrapText="1"/>
      <protection locked="0"/>
    </xf>
    <xf numFmtId="0" fontId="12" fillId="3" borderId="16" xfId="0" applyFont="1" applyFill="1" applyBorder="1" applyAlignment="1" applyProtection="1">
      <alignment vertical="center" wrapText="1"/>
      <protection locked="0"/>
    </xf>
    <xf numFmtId="0" fontId="12" fillId="3" borderId="6" xfId="0" applyFont="1" applyFill="1" applyBorder="1" applyAlignment="1" applyProtection="1">
      <alignment vertical="center" wrapText="1"/>
      <protection locked="0"/>
    </xf>
    <xf numFmtId="0" fontId="94" fillId="3" borderId="0" xfId="13" applyFont="1" applyFill="1" applyAlignment="1" applyProtection="1">
      <alignment horizontal="left" wrapText="1"/>
    </xf>
    <xf numFmtId="0" fontId="52" fillId="0" borderId="0" xfId="0" applyFont="1" applyFill="1" applyBorder="1" applyAlignment="1" applyProtection="1">
      <alignment horizontal="left" wrapText="1"/>
    </xf>
    <xf numFmtId="0" fontId="51" fillId="0" borderId="0" xfId="0" applyFont="1" applyFill="1" applyBorder="1" applyAlignment="1" applyProtection="1">
      <alignment horizontal="left" wrapText="1"/>
    </xf>
    <xf numFmtId="0" fontId="95" fillId="3" borderId="98" xfId="0" applyFont="1" applyFill="1" applyBorder="1" applyAlignment="1" applyProtection="1">
      <alignment horizontal="left" wrapText="1"/>
    </xf>
    <xf numFmtId="0" fontId="96" fillId="3" borderId="103" xfId="0" applyFont="1" applyFill="1" applyBorder="1" applyAlignment="1" applyProtection="1">
      <alignment horizontal="left" wrapText="1"/>
    </xf>
    <xf numFmtId="0" fontId="96" fillId="3" borderId="123" xfId="0" applyFont="1" applyFill="1" applyBorder="1" applyAlignment="1" applyProtection="1">
      <alignment horizontal="left" wrapText="1"/>
    </xf>
    <xf numFmtId="0" fontId="11" fillId="2" borderId="123" xfId="0" applyFont="1" applyFill="1" applyBorder="1" applyAlignment="1" applyProtection="1">
      <alignment horizontal="left" vertical="center"/>
    </xf>
    <xf numFmtId="0" fontId="105" fillId="0" borderId="97" xfId="13" applyFont="1" applyFill="1" applyBorder="1" applyAlignment="1">
      <alignment horizontal="left" vertical="center"/>
    </xf>
    <xf numFmtId="0" fontId="105" fillId="0" borderId="54" xfId="13" applyFont="1" applyFill="1" applyBorder="1" applyAlignment="1">
      <alignment horizontal="left" vertical="center"/>
    </xf>
    <xf numFmtId="0" fontId="100" fillId="25" borderId="16" xfId="14" applyFont="1" applyFill="1" applyBorder="1" applyAlignment="1">
      <alignment horizontal="center" vertical="center" wrapText="1"/>
    </xf>
    <xf numFmtId="0" fontId="100" fillId="25" borderId="6" xfId="14" applyFont="1" applyFill="1" applyBorder="1" applyAlignment="1">
      <alignment horizontal="center" vertical="center" wrapText="1"/>
    </xf>
    <xf numFmtId="0" fontId="100" fillId="25" borderId="13" xfId="14" applyFont="1" applyFill="1" applyBorder="1" applyAlignment="1">
      <alignment horizontal="center" vertical="center" wrapText="1"/>
    </xf>
    <xf numFmtId="0" fontId="101" fillId="25" borderId="13" xfId="13" applyFont="1" applyFill="1" applyBorder="1" applyAlignment="1">
      <alignment horizontal="center" vertical="center"/>
    </xf>
    <xf numFmtId="0" fontId="101" fillId="25" borderId="16" xfId="13" applyFont="1" applyFill="1" applyBorder="1" applyAlignment="1">
      <alignment horizontal="center" vertical="center"/>
    </xf>
    <xf numFmtId="0" fontId="101" fillId="25" borderId="6" xfId="13" applyFont="1" applyFill="1" applyBorder="1" applyAlignment="1">
      <alignment horizontal="center" vertical="center"/>
    </xf>
    <xf numFmtId="43" fontId="100" fillId="25" borderId="13" xfId="14" applyNumberFormat="1" applyFont="1" applyFill="1" applyBorder="1" applyAlignment="1">
      <alignment horizontal="center" vertical="center" wrapText="1"/>
    </xf>
    <xf numFmtId="43" fontId="100" fillId="25" borderId="16" xfId="14" applyNumberFormat="1" applyFont="1" applyFill="1" applyBorder="1" applyAlignment="1">
      <alignment horizontal="center" vertical="center" wrapText="1"/>
    </xf>
    <xf numFmtId="43" fontId="100" fillId="25" borderId="6" xfId="14" applyNumberFormat="1" applyFont="1" applyFill="1" applyBorder="1" applyAlignment="1">
      <alignment horizontal="center" vertical="center" wrapText="1"/>
    </xf>
    <xf numFmtId="43" fontId="100" fillId="25" borderId="28" xfId="14" applyNumberFormat="1" applyFont="1" applyFill="1" applyBorder="1" applyAlignment="1">
      <alignment horizontal="center" vertical="center" wrapText="1"/>
    </xf>
    <xf numFmtId="43" fontId="100" fillId="25" borderId="75" xfId="14" applyNumberFormat="1" applyFont="1" applyFill="1" applyBorder="1" applyAlignment="1">
      <alignment horizontal="center" vertical="center" wrapText="1"/>
    </xf>
    <xf numFmtId="0" fontId="100" fillId="25" borderId="13" xfId="14" applyFont="1" applyFill="1" applyBorder="1" applyAlignment="1">
      <alignment horizontal="center" wrapText="1"/>
    </xf>
    <xf numFmtId="0" fontId="100" fillId="25" borderId="16" xfId="14" applyFont="1" applyFill="1" applyBorder="1" applyAlignment="1">
      <alignment horizontal="center" wrapText="1"/>
    </xf>
    <xf numFmtId="0" fontId="100" fillId="25" borderId="28" xfId="13" applyFont="1" applyFill="1" applyBorder="1" applyAlignment="1">
      <alignment horizontal="center" vertical="center"/>
    </xf>
    <xf numFmtId="0" fontId="100" fillId="25" borderId="75" xfId="13" applyFont="1" applyFill="1" applyBorder="1" applyAlignment="1">
      <alignment horizontal="center" vertical="center"/>
    </xf>
    <xf numFmtId="0" fontId="99" fillId="0" borderId="28" xfId="13" applyFont="1" applyFill="1" applyBorder="1" applyAlignment="1">
      <alignment horizontal="left" vertical="center" wrapText="1"/>
    </xf>
    <xf numFmtId="0" fontId="99" fillId="0" borderId="116" xfId="13" applyFont="1" applyFill="1" applyBorder="1" applyAlignment="1">
      <alignment horizontal="left" vertical="center" wrapText="1"/>
    </xf>
    <xf numFmtId="0" fontId="99" fillId="0" borderId="75" xfId="13" applyFont="1" applyFill="1" applyBorder="1" applyAlignment="1">
      <alignment horizontal="left" vertical="center" wrapText="1"/>
    </xf>
    <xf numFmtId="0" fontId="100" fillId="0" borderId="13" xfId="14" applyFont="1" applyFill="1" applyBorder="1" applyAlignment="1">
      <alignment horizontal="left" vertical="center" wrapText="1"/>
    </xf>
    <xf numFmtId="0" fontId="100" fillId="0" borderId="6" xfId="14" applyFont="1" applyFill="1" applyBorder="1" applyAlignment="1">
      <alignment horizontal="left" vertical="center" wrapText="1"/>
    </xf>
    <xf numFmtId="43" fontId="100" fillId="25" borderId="116" xfId="14" applyNumberFormat="1" applyFont="1" applyFill="1" applyBorder="1" applyAlignment="1">
      <alignment horizontal="center" vertical="center" wrapText="1"/>
    </xf>
    <xf numFmtId="43" fontId="101" fillId="0" borderId="23" xfId="13" applyNumberFormat="1" applyFont="1" applyFill="1" applyBorder="1" applyAlignment="1">
      <alignment horizontal="center" vertical="center"/>
    </xf>
    <xf numFmtId="43" fontId="101" fillId="0" borderId="25" xfId="13" applyNumberFormat="1" applyFont="1" applyFill="1" applyBorder="1" applyAlignment="1">
      <alignment horizontal="center" vertical="center"/>
    </xf>
    <xf numFmtId="43" fontId="101" fillId="0" borderId="13" xfId="13" applyNumberFormat="1" applyFont="1" applyFill="1" applyBorder="1" applyAlignment="1">
      <alignment vertical="center"/>
    </xf>
    <xf numFmtId="43" fontId="101" fillId="0" borderId="6" xfId="13" applyNumberFormat="1" applyFont="1" applyFill="1" applyBorder="1" applyAlignment="1">
      <alignment vertical="center"/>
    </xf>
    <xf numFmtId="0" fontId="105" fillId="25" borderId="98" xfId="13" applyFont="1" applyFill="1" applyBorder="1" applyAlignment="1">
      <alignment horizontal="center"/>
    </xf>
    <xf numFmtId="0" fontId="105" fillId="25" borderId="103" xfId="13" applyFont="1" applyFill="1" applyBorder="1" applyAlignment="1">
      <alignment horizontal="center"/>
    </xf>
    <xf numFmtId="0" fontId="105" fillId="25" borderId="123" xfId="13" applyFont="1" applyFill="1" applyBorder="1" applyAlignment="1">
      <alignment horizontal="center"/>
    </xf>
    <xf numFmtId="0" fontId="98" fillId="0" borderId="0" xfId="13" applyFont="1" applyFill="1" applyBorder="1" applyAlignment="1">
      <alignment horizontal="left"/>
    </xf>
    <xf numFmtId="43" fontId="99" fillId="0" borderId="27" xfId="13" applyNumberFormat="1" applyFont="1" applyFill="1" applyBorder="1" applyAlignment="1">
      <alignment horizontal="left" vertical="center"/>
    </xf>
    <xf numFmtId="43" fontId="98" fillId="0" borderId="0" xfId="13" applyNumberFormat="1" applyFont="1" applyFill="1" applyBorder="1" applyAlignment="1">
      <alignment horizontal="left"/>
    </xf>
    <xf numFmtId="0" fontId="105" fillId="29" borderId="98" xfId="13" applyFont="1" applyFill="1" applyBorder="1" applyAlignment="1">
      <alignment horizontal="center" vertical="center"/>
    </xf>
    <xf numFmtId="0" fontId="105" fillId="29" borderId="103" xfId="13" applyFont="1" applyFill="1" applyBorder="1" applyAlignment="1">
      <alignment horizontal="center" vertical="center"/>
    </xf>
    <xf numFmtId="0" fontId="105" fillId="29" borderId="123" xfId="13" applyFont="1" applyFill="1" applyBorder="1" applyAlignment="1">
      <alignment horizontal="center" vertical="center"/>
    </xf>
  </cellXfs>
  <cellStyles count="22">
    <cellStyle name="Comma" xfId="1" builtinId="3"/>
    <cellStyle name="Comma 2" xfId="2"/>
    <cellStyle name="Comma 2 2" xfId="3"/>
    <cellStyle name="Comma 2 2 2" xfId="4"/>
    <cellStyle name="Comma 2 3" xfId="5"/>
    <cellStyle name="Comma 3" xfId="6"/>
    <cellStyle name="Comma 3 2" xfId="7"/>
    <cellStyle name="Comma 4" xfId="8"/>
    <cellStyle name="Comma 5" xfId="9"/>
    <cellStyle name="Comma_Expenditure statement for DR6PU5-for LFA (version II)" xfId="10"/>
    <cellStyle name="Comma_HIV_Financial Reporting Template_Nov16" xfId="11"/>
    <cellStyle name="Comma_Template for Summary budgets Generic" xfId="12"/>
    <cellStyle name="Normal" xfId="0" builtinId="0"/>
    <cellStyle name="Normal 2" xfId="13"/>
    <cellStyle name="Normal 2 2" xfId="14"/>
    <cellStyle name="Normal 2 3" xfId="15"/>
    <cellStyle name="Normal 3" xfId="16"/>
    <cellStyle name="Normal_Cashflow Satement - 6PUDR" xfId="17"/>
    <cellStyle name="Normal_Template for Summary budgets Generic" xfId="18"/>
    <cellStyle name="Percent" xfId="19" builtinId="5"/>
    <cellStyle name="Percent 2" xfId="20"/>
    <cellStyle name="Percent 3" xfId="21"/>
  </cellStyles>
  <dxfs count="134">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auto="1"/>
      </font>
      <fill>
        <patternFill>
          <bgColor indexed="26"/>
        </patternFill>
      </fill>
    </dxf>
    <dxf>
      <font>
        <condense val="0"/>
        <extend val="0"/>
        <color indexed="22"/>
      </font>
    </dxf>
    <dxf>
      <font>
        <condense val="0"/>
        <extend val="0"/>
        <color indexed="22"/>
      </font>
    </dxf>
    <dxf>
      <font>
        <condense val="0"/>
        <extend val="0"/>
        <color indexed="22"/>
      </font>
    </dxf>
    <dxf>
      <font>
        <b val="0"/>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val="0"/>
        <i val="0"/>
        <condense val="0"/>
        <extend val="0"/>
        <color indexed="10"/>
      </font>
    </dxf>
    <dxf>
      <font>
        <b/>
        <i val="0"/>
        <condense val="0"/>
        <extend val="0"/>
        <color indexed="10"/>
      </font>
    </dxf>
    <dxf>
      <fill>
        <patternFill>
          <bgColor theme="9" tint="0.59996337778862885"/>
        </patternFill>
      </fill>
    </dxf>
    <dxf>
      <font>
        <b val="0"/>
        <i val="0"/>
        <condense val="0"/>
        <extend val="0"/>
        <color indexed="10"/>
      </font>
    </dxf>
    <dxf>
      <font>
        <b/>
        <i val="0"/>
        <condense val="0"/>
        <extend val="0"/>
        <color indexed="10"/>
      </font>
    </dxf>
    <dxf>
      <font>
        <b val="0"/>
        <i val="0"/>
        <condense val="0"/>
        <extend val="0"/>
        <color indexed="10"/>
      </font>
    </dxf>
    <dxf>
      <font>
        <b/>
        <i val="0"/>
        <condense val="0"/>
        <extend val="0"/>
        <color indexed="10"/>
      </font>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ont>
        <b val="0"/>
        <i val="0"/>
        <strike val="0"/>
        <condense val="0"/>
        <extend val="0"/>
        <outline val="0"/>
        <shadow val="0"/>
        <u val="none"/>
        <vertAlign val="baseline"/>
        <sz val="8"/>
        <color theme="1" tint="0.14999847407452621"/>
        <name val="Arial"/>
        <scheme val="none"/>
      </font>
      <numFmt numFmtId="13" formatCode="0%"/>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relativeIndent="255" justifyLastLine="0" shrinkToFit="0" mergeCell="0" readingOrder="0"/>
      <protection locked="0" hidden="0"/>
    </dxf>
    <dxf>
      <border outline="0">
        <bottom style="medium">
          <color indexed="18"/>
        </bottom>
      </border>
    </dxf>
    <dxf>
      <font>
        <b val="0"/>
        <i val="0"/>
        <strike val="0"/>
        <condense val="0"/>
        <extend val="0"/>
        <outline val="0"/>
        <shadow val="0"/>
        <u val="none"/>
        <vertAlign val="baseline"/>
        <sz val="8"/>
        <color theme="3"/>
        <name val="Arial"/>
        <scheme val="none"/>
      </font>
      <numFmt numFmtId="0" formatCode="General"/>
      <fill>
        <patternFill patternType="none">
          <fgColor indexed="64"/>
          <bgColor indexed="65"/>
        </patternFill>
      </fill>
      <alignment horizontal="center" vertical="center" textRotation="0" wrapText="1" indent="0" relativeIndent="255" justifyLastLine="0" shrinkToFit="0" mergeCell="0" readingOrder="0"/>
      <protection locked="0" hidden="0"/>
    </dxf>
    <dxf>
      <font>
        <b val="0"/>
        <i val="0"/>
        <strike val="0"/>
        <condense val="0"/>
        <extend val="0"/>
        <outline val="0"/>
        <shadow val="0"/>
        <u val="none"/>
        <vertAlign val="baseline"/>
        <sz val="8"/>
        <color theme="0"/>
        <name val="Arial"/>
        <scheme val="none"/>
      </font>
      <fill>
        <patternFill patternType="none">
          <fgColor indexed="64"/>
          <bgColor indexed="65"/>
        </patternFill>
      </fill>
      <alignment horizontal="general" vertical="center" textRotation="0" wrapText="1" indent="0" relativeIndent="255" justifyLastLine="0" shrinkToFit="0" mergeCell="0" readingOrder="0"/>
      <protection locked="0" hidden="0"/>
    </dxf>
    <dxf>
      <font>
        <color theme="0"/>
      </font>
    </dxf>
    <dxf>
      <fill>
        <patternFill>
          <bgColor rgb="FF00FF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patternType="lightUp">
          <fgColor rgb="FFFF0000"/>
          <bgColor indexed="65"/>
        </patternFill>
      </fill>
    </dxf>
    <dxf>
      <fill>
        <patternFill patternType="lightUp">
          <fgColor rgb="FFFFC000"/>
        </patternFill>
      </fill>
    </dxf>
    <dxf>
      <fill>
        <patternFill patternType="lightUp">
          <fgColor rgb="FFFFFF00"/>
          <bgColor indexed="65"/>
        </patternFill>
      </fill>
    </dxf>
    <dxf>
      <fill>
        <patternFill patternType="lightUp">
          <fgColor rgb="FF00B0F0"/>
        </patternFill>
      </fill>
    </dxf>
    <dxf>
      <fill>
        <patternFill patternType="lightUp">
          <fgColor rgb="FF92D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FF00"/>
        </patternFill>
      </fill>
    </dxf>
    <dxf>
      <fill>
        <patternFill>
          <bgColor rgb="FFFF0000"/>
        </patternFill>
      </fill>
    </dxf>
    <dxf>
      <fill>
        <patternFill>
          <bgColor rgb="FF00FF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00B0F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val="0"/>
        <i val="0"/>
        <condense val="0"/>
        <extend val="0"/>
        <color indexed="10"/>
      </font>
    </dxf>
    <dxf>
      <font>
        <b val="0"/>
        <i val="0"/>
        <condense val="0"/>
        <extend val="0"/>
        <color indexed="10"/>
      </font>
    </dxf>
    <dxf>
      <font>
        <b/>
        <i val="0"/>
        <condense val="0"/>
        <extend val="0"/>
        <color indexed="1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color indexed="10"/>
      </font>
    </dxf>
    <dxf>
      <font>
        <b/>
        <i val="0"/>
        <condense val="0"/>
        <extend val="0"/>
        <color indexed="10"/>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1016000</xdr:colOff>
      <xdr:row>14</xdr:row>
      <xdr:rowOff>15875</xdr:rowOff>
    </xdr:from>
    <xdr:to>
      <xdr:col>9</xdr:col>
      <xdr:colOff>1435100</xdr:colOff>
      <xdr:row>14</xdr:row>
      <xdr:rowOff>15875</xdr:rowOff>
    </xdr:to>
    <xdr:sp macro="" textlink="">
      <xdr:nvSpPr>
        <xdr:cNvPr id="2" name="PowerPlusWaterMarkObject3"/>
        <xdr:cNvSpPr>
          <a:spLocks noChangeArrowheads="1" noChangeShapeType="1" noTextEdit="1"/>
        </xdr:cNvSpPr>
      </xdr:nvSpPr>
      <xdr:spPr bwMode="auto">
        <a:xfrm rot="18900000">
          <a:off x="6302375" y="3063875"/>
          <a:ext cx="6800850" cy="0"/>
        </a:xfrm>
        <a:prstGeom prst="rect">
          <a:avLst/>
        </a:prstGeom>
      </xdr:spPr>
      <xdr:txBody>
        <a:bodyPr wrap="none" fromWordArt="1">
          <a:prstTxWarp prst="textPlain">
            <a:avLst>
              <a:gd name="adj" fmla="val 50000"/>
            </a:avLst>
          </a:prstTxWarp>
        </a:bodyPr>
        <a:lstStyle/>
        <a:p>
          <a:pPr algn="ctr" rtl="0"/>
          <a:r>
            <a:rPr lang="en-US" sz="100" spc="0">
              <a:ln w="9525">
                <a:noFill/>
                <a:round/>
                <a:headEnd/>
                <a:tailEnd/>
              </a:ln>
              <a:solidFill>
                <a:srgbClr val="C0C0C0">
                  <a:alpha val="50000"/>
                </a:srgbClr>
              </a:solidFill>
              <a:latin typeface="Arial"/>
              <a:cs typeface="Arial"/>
            </a:rPr>
            <a:t>DRAFT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56</xdr:row>
      <xdr:rowOff>733425</xdr:rowOff>
    </xdr:from>
    <xdr:to>
      <xdr:col>5</xdr:col>
      <xdr:colOff>923925</xdr:colOff>
      <xdr:row>58</xdr:row>
      <xdr:rowOff>9525</xdr:rowOff>
    </xdr:to>
    <xdr:pic>
      <xdr:nvPicPr>
        <xdr:cNvPr id="37897" name="Picture 1" descr="signature 001"/>
        <xdr:cNvPicPr>
          <a:picLocks noChangeAspect="1" noChangeArrowheads="1"/>
        </xdr:cNvPicPr>
      </xdr:nvPicPr>
      <xdr:blipFill>
        <a:blip xmlns:r="http://schemas.openxmlformats.org/officeDocument/2006/relationships" r:embed="rId1" cstate="print"/>
        <a:srcRect l="23535" t="36147" r="58591" b="50829"/>
        <a:stretch>
          <a:fillRect/>
        </a:stretch>
      </xdr:blipFill>
      <xdr:spPr bwMode="auto">
        <a:xfrm>
          <a:off x="3562350" y="20659725"/>
          <a:ext cx="3648075" cy="504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y\Desktop\BHUTAN_LFA3\HIVAIDS\HIV_Q14_MJJ_2011\BhutanHIV_PUDR_Q14_JAS_2011%20(G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Documents%20and%20Settings\gallabergenova\Local%20Settings\Temporary%20Internet%20Files\OLK40\NGA-809-G11-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Users\chenneuse\AppData\Local\Microsoft\Windows\Temporary%20Internet%20Files\Content.Outlook\LX8CLMNA\Malaria_Financial%20Reporting%20Template_Jun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Users\chenneuse\AppData\Local\Microsoft\Windows\Temporary%20Internet%20Files\Content.Outlook\LX8CLMNA\TB_Financial%20Reporting%20Template_Jun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DOCUME~1\KINLEY~1\LOCALS~1\Temp\Detail%20budget%20Y%204%20&amp;%205%2011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DOCUME~1\KINLEY~1\LOCALS~1\Temp\Detail%20budget%20Y%204%20&amp;%205%2014Oc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KinleyDorji\My%20Documents\Downloads\DOCUME~1\KINLEY~1\LOCALS~1\Temp\Detail%20budget%20Y%204%20&amp;%205%2013Oc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Low\Content.IE5\SXQBBA17\PUDR%20Aug,%20Sept%20&amp;%20Oct%20qtr15%20Desh%20Man%20Ra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ANNEXURE A (RATING)"/>
      <sheetName val="LFA_Grant Management_2"/>
      <sheetName val="LFA_Total PR Cash Outflow_3A"/>
      <sheetName val="Annex_B_VarQ14"/>
      <sheetName val="LFA_EFR Review_3B"/>
      <sheetName val="LFA_Procurement Info_4"/>
      <sheetName val="LFA_Findings&amp;Recommendations"/>
      <sheetName val="LFA_Cash Reconciliation_5A"/>
      <sheetName val="Annexure _C_Cash Recon."/>
      <sheetName val="LFA_Disbursement Recommend_5B"/>
      <sheetName val="Sheet1"/>
      <sheetName val="LFA_Overall Performance_6"/>
      <sheetName val="LFA_DisbursementRecommendation7"/>
      <sheetName val="LFA_Bank Details_7C"/>
      <sheetName val="LFA_Annex-SR Financials"/>
      <sheetName val="Memo HIV"/>
      <sheetName val="Memo TB"/>
      <sheetName val="Memo Malaria"/>
      <sheetName val="Definitions-lists-EFR"/>
      <sheetName val="Sheet2"/>
      <sheetName val="Annex_D_CuuV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Please select…</v>
          </cell>
        </row>
        <row r="3">
          <cell r="A3" t="str">
            <v>Prevention: Behavioral Change Communication - Mass media</v>
          </cell>
        </row>
        <row r="4">
          <cell r="A4" t="str">
            <v>Prevention: Behavioral Change Communication - community outreach</v>
          </cell>
        </row>
        <row r="5">
          <cell r="A5" t="str">
            <v>Prevention: Condom distribution</v>
          </cell>
        </row>
        <row r="6">
          <cell r="A6" t="str">
            <v xml:space="preserve">Prevention: Counseling and Testing </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 xml:space="preserve">TB/HIV collaborative activities: HIV care and support for HIV-positive TB patients </v>
          </cell>
        </row>
        <row r="16">
          <cell r="A16" t="str">
            <v>Supportive environment: Policy development including workplace policy</v>
          </cell>
        </row>
        <row r="17">
          <cell r="A17" t="str">
            <v xml:space="preserve">Supportive environment: Strengthening of civil society and institutional capacity building </v>
          </cell>
        </row>
        <row r="18">
          <cell r="A18" t="str">
            <v>Supportive environment: Stigma reduction in all settings</v>
          </cell>
        </row>
        <row r="19">
          <cell r="A19" t="str">
            <v>Supportive environment: Program management and administration</v>
          </cell>
        </row>
        <row r="20">
          <cell r="A20" t="str">
            <v>HSS: Service delivery</v>
          </cell>
        </row>
        <row r="21">
          <cell r="A21" t="str">
            <v>HSS: Human resources</v>
          </cell>
        </row>
        <row r="22">
          <cell r="A22" t="str">
            <v>HSS: Community Systems Strengthening</v>
          </cell>
        </row>
        <row r="23">
          <cell r="A23" t="str">
            <v>HSS: Information system &amp; Operational research</v>
          </cell>
        </row>
        <row r="24">
          <cell r="A24" t="str">
            <v>HSS: Infrastructure</v>
          </cell>
        </row>
        <row r="25">
          <cell r="A25" t="str">
            <v>HSS: Procurement and Supply management</v>
          </cell>
        </row>
        <row r="26">
          <cell r="A26" t="str">
            <v>HSS: Other, specify</v>
          </cell>
        </row>
      </sheetData>
      <sheetData sheetId="32"/>
      <sheetData sheetId="33"/>
      <sheetData sheetId="34">
        <row r="1">
          <cell r="A1" t="str">
            <v>Please Select…</v>
          </cell>
        </row>
        <row r="2">
          <cell r="A2" t="str">
            <v>Prevention</v>
          </cell>
        </row>
        <row r="3">
          <cell r="A3" t="str">
            <v>Treatment</v>
          </cell>
        </row>
        <row r="4">
          <cell r="A4" t="str">
            <v>Care and Support</v>
          </cell>
        </row>
        <row r="5">
          <cell r="A5" t="str">
            <v>TB/HIV Collaborative Activities</v>
          </cell>
        </row>
        <row r="6">
          <cell r="A6" t="str">
            <v>Supportive Environment</v>
          </cell>
        </row>
        <row r="7">
          <cell r="A7"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_Cover Sheet"/>
      <sheetName val="PR_Programmatic Progress_1A"/>
      <sheetName val="PR_Programmatic Progress_1B"/>
      <sheetName val="PR_Grant Management_2"/>
      <sheetName val="PR_Total PR Cash Outflow_3A"/>
      <sheetName val="PR_Procurement Info_3B"/>
      <sheetName val="PR_Cash Reconciliation_4A"/>
      <sheetName val="PR_Disbursement Request_4B"/>
      <sheetName val="PR_Overall Performance_5"/>
      <sheetName val="PR_Cash Request_6A&amp;B"/>
      <sheetName val="PR_Bank Details_6C"/>
      <sheetName val="PR_Annex_SR-Financials"/>
      <sheetName val="LFA_Cover Sheet"/>
      <sheetName val="LFA_Programmatic Progress_1A"/>
      <sheetName val="LFA_Programmatic Progress_1B"/>
      <sheetName val="LFA_Grant Management_2"/>
      <sheetName val="LFA_Total PR Cash Outflow_3A"/>
      <sheetName val="LFA_Procurement Info_3B"/>
      <sheetName val="LFA_Findings&amp;Recommendations_4"/>
      <sheetName val="LFA_Cash Reconciliation_5A"/>
      <sheetName val="LFA_Disbursement Request_5B"/>
      <sheetName val="Sheet1"/>
      <sheetName val="LFA_Overall Performance_6"/>
      <sheetName val="LFA_DisbursementRecommendation7"/>
      <sheetName val="LFA_Bank Details_7D"/>
      <sheetName val="LFA_Annex-SR Financials"/>
      <sheetName val="LFA_Signature (image)"/>
      <sheetName val="Memo HIV"/>
      <sheetName val="Memo TB"/>
      <sheetName val="Memo Mal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LARIA_Financial Data"/>
      <sheetName val="Definitions"/>
      <sheetName val="Annex 1"/>
      <sheetName val="Annex 2"/>
      <sheetName val="Annex 3"/>
    </sheetNames>
    <sheetDataSet>
      <sheetData sheetId="0"/>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sheetDataSet>
      <sheetData sheetId="0"/>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Year 4"/>
      <sheetName val="Year 5"/>
    </sheetNames>
    <sheetDataSet>
      <sheetData sheetId="0" refreshError="1">
        <row r="15">
          <cell r="H15">
            <v>27522</v>
          </cell>
        </row>
        <row r="18">
          <cell r="H18">
            <v>66978</v>
          </cell>
        </row>
        <row r="20">
          <cell r="H20">
            <v>4255</v>
          </cell>
        </row>
        <row r="29">
          <cell r="H29">
            <v>7389</v>
          </cell>
        </row>
        <row r="33">
          <cell r="H33">
            <v>11500</v>
          </cell>
        </row>
        <row r="39">
          <cell r="H39">
            <v>6160</v>
          </cell>
        </row>
        <row r="60">
          <cell r="H60">
            <v>7650</v>
          </cell>
        </row>
      </sheetData>
      <sheetData sheetId="1" refreshError="1">
        <row r="48">
          <cell r="H48">
            <v>6000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Year 4"/>
      <sheetName val="Year 5"/>
    </sheetNames>
    <sheetDataSet>
      <sheetData sheetId="0" refreshError="1">
        <row r="16">
          <cell r="H16">
            <v>4950</v>
          </cell>
        </row>
        <row r="59">
          <cell r="H59">
            <v>4950</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Year 4"/>
      <sheetName val="Year 5"/>
      <sheetName val="Sheet2"/>
      <sheetName val="Sheet1"/>
    </sheetNames>
    <sheetDataSet>
      <sheetData sheetId="0" refreshError="1">
        <row r="8">
          <cell r="H8">
            <v>28160</v>
          </cell>
        </row>
        <row r="9">
          <cell r="H9">
            <v>2800</v>
          </cell>
        </row>
        <row r="10">
          <cell r="H10">
            <v>13500</v>
          </cell>
        </row>
        <row r="11">
          <cell r="H11">
            <v>3000</v>
          </cell>
        </row>
        <row r="12">
          <cell r="H12">
            <v>450</v>
          </cell>
        </row>
        <row r="24">
          <cell r="H24">
            <v>4790</v>
          </cell>
        </row>
        <row r="25">
          <cell r="H25">
            <v>5000</v>
          </cell>
        </row>
        <row r="30">
          <cell r="H30">
            <v>474</v>
          </cell>
        </row>
        <row r="34">
          <cell r="H34">
            <v>3085</v>
          </cell>
        </row>
        <row r="43">
          <cell r="H43">
            <v>22500</v>
          </cell>
        </row>
        <row r="46">
          <cell r="H46">
            <v>999</v>
          </cell>
        </row>
        <row r="51">
          <cell r="H51">
            <v>10000</v>
          </cell>
        </row>
        <row r="56">
          <cell r="H56">
            <v>2460</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und Release statement"/>
      <sheetName val="Exp. details"/>
      <sheetName val="Cashflow_GF_Q15"/>
      <sheetName val="Sheet1"/>
      <sheetName val="HIV_Q14"/>
      <sheetName val="VAR_Q14"/>
    </sheetNames>
    <sheetDataSet>
      <sheetData sheetId="0"/>
      <sheetData sheetId="1">
        <row r="221">
          <cell r="H221">
            <v>496495.26</v>
          </cell>
        </row>
        <row r="234">
          <cell r="C234">
            <v>3675051.94</v>
          </cell>
        </row>
        <row r="235">
          <cell r="C235">
            <v>1739638</v>
          </cell>
        </row>
      </sheetData>
      <sheetData sheetId="2"/>
      <sheetData sheetId="3"/>
      <sheetData sheetId="4"/>
      <sheetData sheetId="5"/>
    </sheetDataSet>
  </externalBook>
</externalLink>
</file>

<file path=xl/tables/table1.xml><?xml version="1.0" encoding="utf-8"?>
<table xmlns="http://schemas.openxmlformats.org/spreadsheetml/2006/main" id="1" name="Table1" displayName="Table1" ref="B4:K40" totalsRowShown="0" headerRowDxfId="43" dataDxfId="42" tableBorderDxfId="41">
  <tableColumns count="10">
    <tableColumn id="1" name="Top 10" dataDxfId="40"/>
    <tableColumn id="2" name="Training indicator" dataDxfId="39"/>
    <tableColumn id="11" name="Reverse Indicator?" dataDxfId="38"/>
    <tableColumn id="3" name="Indicator Number" dataDxfId="37"/>
    <tableColumn id="4" name="Indicator Name" dataDxfId="36"/>
    <tableColumn id="5" name="Period" dataDxfId="35"/>
    <tableColumn id="6" name="Value" dataDxfId="34" dataCellStyle="Comma"/>
    <tableColumn id="7" name="R_Period" dataDxfId="33"/>
    <tableColumn id="8" name="R_Value" dataDxfId="32" dataCellStyle="Comma"/>
    <tableColumn id="9" name="Result % (*)" dataDxfId="31">
      <calculatedColumnFormula>IF(J5="","",IF(D5="No",IF(J5/H5&gt;1.2,1.2,J5/H5),IF(D5="Yes",IF(H5/J5&gt;1.2,1.2,H5/J5))))</calculatedColumnFormula>
    </tableColumn>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sheetPr enableFormatConditionsCalculation="0">
    <tabColor rgb="FFFFFF00"/>
    <pageSetUpPr fitToPage="1"/>
  </sheetPr>
  <dimension ref="A1:D19"/>
  <sheetViews>
    <sheetView view="pageBreakPreview" topLeftCell="A13" zoomScale="85" zoomScaleNormal="75" zoomScaleSheetLayoutView="85" workbookViewId="0">
      <selection activeCell="H7" sqref="H7"/>
    </sheetView>
  </sheetViews>
  <sheetFormatPr defaultRowHeight="12.75"/>
  <cols>
    <col min="1" max="1" width="144" style="525" customWidth="1"/>
    <col min="2" max="2" width="16.85546875" style="72" customWidth="1"/>
    <col min="3" max="3" width="10.140625" style="72" customWidth="1"/>
    <col min="4" max="4" width="1.140625" style="72" customWidth="1"/>
    <col min="5" max="16384" width="9.140625" style="72"/>
  </cols>
  <sheetData>
    <row r="1" spans="1:4" ht="61.5" customHeight="1">
      <c r="A1" s="1740" t="s">
        <v>333</v>
      </c>
      <c r="B1" s="1740"/>
    </row>
    <row r="2" spans="1:4" ht="25.5" customHeight="1">
      <c r="A2" s="524"/>
      <c r="B2" s="1250"/>
      <c r="C2" s="69"/>
    </row>
    <row r="3" spans="1:4" ht="52.5" customHeight="1">
      <c r="A3" s="1742" t="s">
        <v>334</v>
      </c>
      <c r="B3" s="1742"/>
    </row>
    <row r="4" spans="1:4" ht="35.25" customHeight="1">
      <c r="A4" s="1739" t="s">
        <v>641</v>
      </c>
      <c r="B4" s="1739"/>
      <c r="C4" s="1343"/>
      <c r="D4" s="1343"/>
    </row>
    <row r="5" spans="1:4" ht="23.25" customHeight="1">
      <c r="A5" s="1739"/>
      <c r="B5" s="1739"/>
      <c r="C5" s="1315"/>
      <c r="D5" s="1315"/>
    </row>
    <row r="6" spans="1:4" ht="29.25" customHeight="1">
      <c r="A6" s="1739"/>
      <c r="B6" s="1739"/>
      <c r="C6" s="1344"/>
      <c r="D6" s="1344"/>
    </row>
    <row r="7" spans="1:4" ht="40.5" customHeight="1">
      <c r="A7" s="1739"/>
      <c r="B7" s="1739"/>
      <c r="C7" s="1344"/>
      <c r="D7" s="1344"/>
    </row>
    <row r="8" spans="1:4" ht="24" customHeight="1">
      <c r="A8" s="1739"/>
      <c r="B8" s="1739"/>
      <c r="C8" s="1344"/>
      <c r="D8" s="1344"/>
    </row>
    <row r="9" spans="1:4" ht="21" customHeight="1">
      <c r="A9" s="1739"/>
      <c r="B9" s="1739"/>
      <c r="C9" s="1345"/>
      <c r="D9" s="1345"/>
    </row>
    <row r="10" spans="1:4" ht="45" customHeight="1">
      <c r="A10" s="1739"/>
      <c r="B10" s="1739"/>
      <c r="C10" s="1346"/>
      <c r="D10" s="1346"/>
    </row>
    <row r="11" spans="1:4" ht="15.75" customHeight="1">
      <c r="A11" s="1739"/>
      <c r="B11" s="1739"/>
      <c r="C11" s="1316"/>
      <c r="D11" s="1316"/>
    </row>
    <row r="12" spans="1:4" ht="93.75" customHeight="1">
      <c r="A12" s="1739"/>
      <c r="B12" s="1739"/>
      <c r="C12" s="1314"/>
      <c r="D12" s="1314"/>
    </row>
    <row r="13" spans="1:4" ht="31.5" customHeight="1">
      <c r="A13" s="1739"/>
      <c r="B13" s="1739"/>
      <c r="C13" s="1314"/>
      <c r="D13" s="1314"/>
    </row>
    <row r="14" spans="1:4" ht="27.75" customHeight="1">
      <c r="A14" s="1739"/>
      <c r="B14" s="1739"/>
      <c r="C14" s="1343"/>
      <c r="D14" s="1343"/>
    </row>
    <row r="15" spans="1:4" ht="84.75" customHeight="1">
      <c r="A15" s="1739"/>
      <c r="B15" s="1739"/>
      <c r="C15" s="1315"/>
      <c r="D15" s="1315"/>
    </row>
    <row r="16" spans="1:4" ht="15.75" customHeight="1">
      <c r="A16" s="1739"/>
      <c r="B16" s="1739"/>
      <c r="C16" s="1347"/>
      <c r="D16" s="1347"/>
    </row>
    <row r="17" spans="1:4" ht="37.5" customHeight="1">
      <c r="A17" s="1741" t="s">
        <v>509</v>
      </c>
      <c r="B17" s="1741"/>
      <c r="C17" s="1741"/>
      <c r="D17" s="1741"/>
    </row>
    <row r="18" spans="1:4">
      <c r="A18" s="1738"/>
      <c r="B18" s="1738"/>
      <c r="C18" s="1738"/>
      <c r="D18" s="1738"/>
    </row>
    <row r="19" spans="1:4">
      <c r="A19" s="1738"/>
      <c r="B19" s="1738"/>
      <c r="C19" s="1738"/>
      <c r="D19" s="1738"/>
    </row>
  </sheetData>
  <sheetProtection password="92D1" sheet="1" selectLockedCells="1"/>
  <customSheetViews>
    <customSheetView guid="{E26F941C-F347-432D-B4B3-73B25F002075}" scale="75" showPageBreaks="1" fitToPage="1" printArea="1">
      <selection activeCell="G16" sqref="G16"/>
      <pageMargins left="0.74803149606299213" right="0.74803149606299213" top="0.98425196850393704" bottom="0.98425196850393704" header="0.51181102362204722" footer="0.51181102362204722"/>
      <printOptions horizontalCentered="1"/>
      <pageSetup paperSize="9" scale="87" orientation="landscape" r:id="rId1"/>
      <headerFooter alignWithMargins="0">
        <oddFooter>&amp;L&amp;9SD 3.1A - Form, Ongoing DR/PU and LFA Review and Recommendation_v2.1 February 2006&amp;R&amp;9Page &amp;P of &amp;N</oddFooter>
      </headerFooter>
    </customSheetView>
  </customSheetViews>
  <mergeCells count="6">
    <mergeCell ref="A19:D19"/>
    <mergeCell ref="A4:B16"/>
    <mergeCell ref="A1:B1"/>
    <mergeCell ref="A17:D17"/>
    <mergeCell ref="A18:D18"/>
    <mergeCell ref="A3:B3"/>
  </mergeCells>
  <phoneticPr fontId="0" type="noConversion"/>
  <printOptions horizontalCentered="1"/>
  <pageMargins left="0.74803149606299213" right="0.74803149606299213" top="0.59055118110236227" bottom="0.59055118110236227" header="0.51181102362204722" footer="0.51181102362204722"/>
  <pageSetup paperSize="9" scale="76" orientation="landscape" cellComments="asDisplayed" r:id="rId2"/>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O31"/>
  <sheetViews>
    <sheetView showGridLines="0" view="pageBreakPreview" zoomScale="85" zoomScaleNormal="75" zoomScaleSheetLayoutView="85" workbookViewId="0">
      <selection activeCell="A26" sqref="A26:O30"/>
    </sheetView>
  </sheetViews>
  <sheetFormatPr defaultRowHeight="12.75"/>
  <cols>
    <col min="1" max="1" width="9.140625" style="72"/>
    <col min="2" max="2" width="33.85546875" style="72" customWidth="1"/>
    <col min="3" max="3" width="22.42578125" style="72" customWidth="1"/>
    <col min="4" max="4" width="16.7109375" style="72" customWidth="1"/>
    <col min="5" max="5" width="12.5703125" style="72" customWidth="1"/>
    <col min="6" max="6" width="15.7109375" style="72" customWidth="1"/>
    <col min="7" max="11" width="9.140625" style="72"/>
    <col min="12" max="12" width="3.28515625" style="72" customWidth="1"/>
    <col min="13" max="14" width="9.140625" style="72"/>
    <col min="15" max="15" width="10.85546875" style="72" customWidth="1"/>
    <col min="16" max="16384" width="9.140625" style="72"/>
  </cols>
  <sheetData>
    <row r="1" spans="1:15" ht="35.25" customHeight="1">
      <c r="A1" s="1786" t="s">
        <v>413</v>
      </c>
      <c r="B1" s="1786"/>
      <c r="C1" s="1786"/>
      <c r="D1" s="1786"/>
      <c r="E1" s="1786"/>
      <c r="F1" s="1786"/>
      <c r="G1" s="35"/>
      <c r="H1" s="35"/>
      <c r="I1" s="12"/>
      <c r="J1" s="12"/>
      <c r="K1" s="12"/>
    </row>
    <row r="2" spans="1:15" ht="16.5" thickBot="1">
      <c r="A2" s="98" t="s">
        <v>507</v>
      </c>
    </row>
    <row r="3" spans="1:15" ht="15.75" thickBot="1">
      <c r="A3" s="1787" t="s">
        <v>422</v>
      </c>
      <c r="B3" s="1788"/>
      <c r="C3" s="1817" t="str">
        <f>IF('LFA_Programmatic Progress_1A'!C7="","",'LFA_Programmatic Progress_1A'!C7)</f>
        <v>BTN-607-G03-H</v>
      </c>
      <c r="D3" s="1818"/>
      <c r="E3" s="1818"/>
      <c r="F3" s="1819"/>
      <c r="G3" s="73"/>
      <c r="H3" s="73"/>
      <c r="I3" s="73"/>
      <c r="J3" s="73"/>
      <c r="K3" s="73"/>
    </row>
    <row r="4" spans="1:15" ht="15">
      <c r="A4" s="492" t="s">
        <v>624</v>
      </c>
      <c r="B4" s="512"/>
      <c r="C4" s="53" t="s">
        <v>630</v>
      </c>
      <c r="D4" s="504" t="str">
        <f>IF('LFA_Programmatic Progress_1A'!D12="Select","",'LFA_Programmatic Progress_1A'!D12)</f>
        <v>Quarter</v>
      </c>
      <c r="E4" s="5" t="s">
        <v>631</v>
      </c>
      <c r="F4" s="47">
        <f>IF('LFA_Programmatic Progress_1A'!F12="Select","",'LFA_Programmatic Progress_1A'!F12)</f>
        <v>16</v>
      </c>
      <c r="G4" s="73"/>
      <c r="H4" s="73"/>
      <c r="I4" s="73"/>
      <c r="J4" s="73"/>
      <c r="K4" s="73"/>
    </row>
    <row r="5" spans="1:15" ht="15">
      <c r="A5" s="513" t="s">
        <v>625</v>
      </c>
      <c r="B5" s="40"/>
      <c r="C5" s="54" t="s">
        <v>593</v>
      </c>
      <c r="D5" s="519">
        <f>IF('LFA_Programmatic Progress_1A'!D13="","",'LFA_Programmatic Progress_1A'!D13)</f>
        <v>40848</v>
      </c>
      <c r="E5" s="5" t="s">
        <v>611</v>
      </c>
      <c r="F5" s="520">
        <f>IF('LFA_Programmatic Progress_1A'!F13="","",'LFA_Programmatic Progress_1A'!F13)</f>
        <v>40939</v>
      </c>
      <c r="G5" s="73"/>
      <c r="H5" s="73"/>
      <c r="I5" s="73"/>
      <c r="J5" s="73"/>
      <c r="K5" s="73"/>
    </row>
    <row r="6" spans="1:15" ht="15.75" thickBot="1">
      <c r="A6" s="55" t="s">
        <v>626</v>
      </c>
      <c r="B6" s="41"/>
      <c r="C6" s="1830">
        <f>IF('LFA_Programmatic Progress_1A'!C14="Select","",'LFA_Programmatic Progress_1A'!C14)</f>
        <v>16</v>
      </c>
      <c r="D6" s="1831"/>
      <c r="E6" s="1831"/>
      <c r="F6" s="1832"/>
      <c r="G6" s="73"/>
      <c r="H6" s="73"/>
      <c r="I6" s="73"/>
      <c r="J6" s="73"/>
      <c r="K6" s="73"/>
    </row>
    <row r="8" spans="1:15" ht="20.25">
      <c r="A8" s="172" t="s">
        <v>217</v>
      </c>
      <c r="B8" s="172"/>
      <c r="C8" s="172"/>
      <c r="D8" s="172"/>
      <c r="E8" s="172"/>
      <c r="F8" s="172"/>
      <c r="G8" s="172"/>
      <c r="H8" s="172"/>
      <c r="I8" s="172"/>
      <c r="J8" s="172"/>
      <c r="K8" s="172"/>
    </row>
    <row r="9" spans="1:15" ht="20.25">
      <c r="A9" s="172"/>
      <c r="B9" s="172"/>
      <c r="C9" s="172"/>
      <c r="D9" s="172"/>
      <c r="E9" s="172"/>
      <c r="F9" s="172"/>
      <c r="G9" s="172"/>
      <c r="H9" s="172"/>
      <c r="I9" s="172"/>
      <c r="J9" s="172"/>
      <c r="K9" s="172"/>
    </row>
    <row r="10" spans="1:15" ht="20.25" customHeight="1">
      <c r="A10" s="2121" t="s">
        <v>639</v>
      </c>
      <c r="B10" s="2122"/>
      <c r="C10" s="2122"/>
      <c r="D10" s="2122"/>
      <c r="E10" s="2122"/>
      <c r="F10" s="2122"/>
      <c r="G10" s="2122"/>
      <c r="H10" s="2122"/>
      <c r="I10" s="2122"/>
      <c r="J10" s="2122"/>
      <c r="K10" s="2122"/>
      <c r="L10" s="2122"/>
      <c r="M10" s="2122"/>
      <c r="N10" s="2122"/>
      <c r="O10" s="2122"/>
    </row>
    <row r="11" spans="1:15" ht="36" customHeight="1">
      <c r="A11" s="2119" t="s">
        <v>341</v>
      </c>
      <c r="B11" s="2120"/>
      <c r="C11" s="2120"/>
      <c r="D11" s="2120"/>
      <c r="E11" s="2120"/>
      <c r="F11" s="2120"/>
      <c r="G11" s="2120"/>
      <c r="H11" s="2120"/>
      <c r="I11" s="2120"/>
      <c r="J11" s="2120"/>
      <c r="K11" s="2120"/>
    </row>
    <row r="12" spans="1:15" ht="12.75" customHeight="1">
      <c r="A12" s="2110" t="s">
        <v>749</v>
      </c>
      <c r="B12" s="2111"/>
      <c r="C12" s="2111"/>
      <c r="D12" s="2111"/>
      <c r="E12" s="2111"/>
      <c r="F12" s="2111"/>
      <c r="G12" s="2111"/>
      <c r="H12" s="2111"/>
      <c r="I12" s="2111"/>
      <c r="J12" s="2111"/>
      <c r="K12" s="2111"/>
      <c r="L12" s="2111"/>
      <c r="M12" s="2111"/>
      <c r="N12" s="2111"/>
      <c r="O12" s="2112"/>
    </row>
    <row r="13" spans="1:15" ht="12.75" customHeight="1">
      <c r="A13" s="2113"/>
      <c r="B13" s="2114"/>
      <c r="C13" s="2114"/>
      <c r="D13" s="2114"/>
      <c r="E13" s="2114"/>
      <c r="F13" s="2114"/>
      <c r="G13" s="2114"/>
      <c r="H13" s="2114"/>
      <c r="I13" s="2114"/>
      <c r="J13" s="2114"/>
      <c r="K13" s="2114"/>
      <c r="L13" s="2114"/>
      <c r="M13" s="2114"/>
      <c r="N13" s="2114"/>
      <c r="O13" s="2115"/>
    </row>
    <row r="14" spans="1:15" ht="12.75" customHeight="1">
      <c r="A14" s="2113"/>
      <c r="B14" s="2114"/>
      <c r="C14" s="2114"/>
      <c r="D14" s="2114"/>
      <c r="E14" s="2114"/>
      <c r="F14" s="2114"/>
      <c r="G14" s="2114"/>
      <c r="H14" s="2114"/>
      <c r="I14" s="2114"/>
      <c r="J14" s="2114"/>
      <c r="K14" s="2114"/>
      <c r="L14" s="2114"/>
      <c r="M14" s="2114"/>
      <c r="N14" s="2114"/>
      <c r="O14" s="2115"/>
    </row>
    <row r="15" spans="1:15" ht="12.75" customHeight="1">
      <c r="A15" s="2113"/>
      <c r="B15" s="2114"/>
      <c r="C15" s="2114"/>
      <c r="D15" s="2114"/>
      <c r="E15" s="2114"/>
      <c r="F15" s="2114"/>
      <c r="G15" s="2114"/>
      <c r="H15" s="2114"/>
      <c r="I15" s="2114"/>
      <c r="J15" s="2114"/>
      <c r="K15" s="2114"/>
      <c r="L15" s="2114"/>
      <c r="M15" s="2114"/>
      <c r="N15" s="2114"/>
      <c r="O15" s="2115"/>
    </row>
    <row r="16" spans="1:15" ht="81.75" customHeight="1">
      <c r="A16" s="2116"/>
      <c r="B16" s="2117"/>
      <c r="C16" s="2117"/>
      <c r="D16" s="2117"/>
      <c r="E16" s="2117"/>
      <c r="F16" s="2117"/>
      <c r="G16" s="2117"/>
      <c r="H16" s="2117"/>
      <c r="I16" s="2117"/>
      <c r="J16" s="2117"/>
      <c r="K16" s="2117"/>
      <c r="L16" s="2117"/>
      <c r="M16" s="2117"/>
      <c r="N16" s="2117"/>
      <c r="O16" s="2118"/>
    </row>
    <row r="17" spans="1:15" ht="20.25">
      <c r="A17" s="172"/>
      <c r="B17" s="172"/>
      <c r="C17" s="172"/>
      <c r="D17" s="172"/>
      <c r="E17" s="172"/>
      <c r="F17" s="172"/>
      <c r="G17" s="172"/>
      <c r="H17" s="172"/>
      <c r="I17" s="172"/>
      <c r="J17" s="172"/>
      <c r="K17" s="172"/>
    </row>
    <row r="18" spans="1:15" ht="18">
      <c r="A18" s="2123" t="s">
        <v>635</v>
      </c>
      <c r="B18" s="2124"/>
      <c r="C18" s="2124"/>
      <c r="D18" s="2124"/>
      <c r="E18" s="2124"/>
      <c r="F18" s="2124"/>
      <c r="G18" s="2124"/>
      <c r="H18" s="2124"/>
      <c r="I18" s="2124"/>
      <c r="J18" s="2124"/>
      <c r="K18" s="2124"/>
      <c r="L18" s="2124"/>
      <c r="M18" s="2124"/>
      <c r="N18" s="2124"/>
      <c r="O18" s="2124"/>
    </row>
    <row r="19" spans="1:15" ht="12.75" customHeight="1">
      <c r="A19" s="2101" t="s">
        <v>0</v>
      </c>
      <c r="B19" s="2102"/>
      <c r="C19" s="2102"/>
      <c r="D19" s="2102"/>
      <c r="E19" s="2102"/>
      <c r="F19" s="2102"/>
      <c r="G19" s="2102"/>
      <c r="H19" s="2102"/>
      <c r="I19" s="2102"/>
      <c r="J19" s="2102"/>
      <c r="K19" s="2102"/>
      <c r="L19" s="2102"/>
      <c r="M19" s="2102"/>
      <c r="N19" s="2102"/>
      <c r="O19" s="2103"/>
    </row>
    <row r="20" spans="1:15" ht="12.75" customHeight="1">
      <c r="A20" s="2104"/>
      <c r="B20" s="2105"/>
      <c r="C20" s="2105"/>
      <c r="D20" s="2105"/>
      <c r="E20" s="2105"/>
      <c r="F20" s="2105"/>
      <c r="G20" s="2105"/>
      <c r="H20" s="2105"/>
      <c r="I20" s="2105"/>
      <c r="J20" s="2105"/>
      <c r="K20" s="2105"/>
      <c r="L20" s="2105"/>
      <c r="M20" s="2105"/>
      <c r="N20" s="2105"/>
      <c r="O20" s="2106"/>
    </row>
    <row r="21" spans="1:15" ht="12.75" customHeight="1">
      <c r="A21" s="2104"/>
      <c r="B21" s="2105"/>
      <c r="C21" s="2105"/>
      <c r="D21" s="2105"/>
      <c r="E21" s="2105"/>
      <c r="F21" s="2105"/>
      <c r="G21" s="2105"/>
      <c r="H21" s="2105"/>
      <c r="I21" s="2105"/>
      <c r="J21" s="2105"/>
      <c r="K21" s="2105"/>
      <c r="L21" s="2105"/>
      <c r="M21" s="2105"/>
      <c r="N21" s="2105"/>
      <c r="O21" s="2106"/>
    </row>
    <row r="22" spans="1:15" ht="12.75" customHeight="1">
      <c r="A22" s="2104"/>
      <c r="B22" s="2105"/>
      <c r="C22" s="2105"/>
      <c r="D22" s="2105"/>
      <c r="E22" s="2105"/>
      <c r="F22" s="2105"/>
      <c r="G22" s="2105"/>
      <c r="H22" s="2105"/>
      <c r="I22" s="2105"/>
      <c r="J22" s="2105"/>
      <c r="K22" s="2105"/>
      <c r="L22" s="2105"/>
      <c r="M22" s="2105"/>
      <c r="N22" s="2105"/>
      <c r="O22" s="2106"/>
    </row>
    <row r="23" spans="1:15" ht="12.75" customHeight="1">
      <c r="A23" s="2107"/>
      <c r="B23" s="2108"/>
      <c r="C23" s="2108"/>
      <c r="D23" s="2108"/>
      <c r="E23" s="2108"/>
      <c r="F23" s="2108"/>
      <c r="G23" s="2108"/>
      <c r="H23" s="2108"/>
      <c r="I23" s="2108"/>
      <c r="J23" s="2108"/>
      <c r="K23" s="2108"/>
      <c r="L23" s="2108"/>
      <c r="M23" s="2108"/>
      <c r="N23" s="2108"/>
      <c r="O23" s="2109"/>
    </row>
    <row r="24" spans="1:15" ht="14.25">
      <c r="A24" s="559"/>
      <c r="B24" s="559"/>
      <c r="C24" s="559"/>
      <c r="D24" s="559"/>
      <c r="E24" s="559"/>
      <c r="F24" s="559"/>
      <c r="G24" s="559"/>
      <c r="H24" s="559"/>
      <c r="I24" s="559"/>
      <c r="J24" s="559"/>
      <c r="K24" s="559"/>
    </row>
    <row r="25" spans="1:15" ht="18">
      <c r="A25" s="2123" t="s">
        <v>636</v>
      </c>
      <c r="B25" s="2124"/>
      <c r="C25" s="2124"/>
      <c r="D25" s="2124"/>
      <c r="E25" s="2124"/>
      <c r="F25" s="2124"/>
      <c r="G25" s="2124"/>
      <c r="H25" s="2124"/>
      <c r="I25" s="2124"/>
      <c r="J25" s="2124"/>
      <c r="K25" s="2124"/>
      <c r="L25" s="2124"/>
      <c r="M25" s="2124"/>
      <c r="N25" s="2124"/>
      <c r="O25" s="2124"/>
    </row>
    <row r="26" spans="1:15" ht="12.75" customHeight="1">
      <c r="A26" s="2101"/>
      <c r="B26" s="2102"/>
      <c r="C26" s="2102"/>
      <c r="D26" s="2102"/>
      <c r="E26" s="2102"/>
      <c r="F26" s="2102"/>
      <c r="G26" s="2102"/>
      <c r="H26" s="2102"/>
      <c r="I26" s="2102"/>
      <c r="J26" s="2102"/>
      <c r="K26" s="2102"/>
      <c r="L26" s="2102"/>
      <c r="M26" s="2102"/>
      <c r="N26" s="2102"/>
      <c r="O26" s="2103"/>
    </row>
    <row r="27" spans="1:15" ht="12.75" customHeight="1">
      <c r="A27" s="2104"/>
      <c r="B27" s="2105"/>
      <c r="C27" s="2105"/>
      <c r="D27" s="2105"/>
      <c r="E27" s="2105"/>
      <c r="F27" s="2105"/>
      <c r="G27" s="2105"/>
      <c r="H27" s="2105"/>
      <c r="I27" s="2105"/>
      <c r="J27" s="2105"/>
      <c r="K27" s="2105"/>
      <c r="L27" s="2105"/>
      <c r="M27" s="2105"/>
      <c r="N27" s="2105"/>
      <c r="O27" s="2106"/>
    </row>
    <row r="28" spans="1:15" ht="12.75" customHeight="1">
      <c r="A28" s="2104"/>
      <c r="B28" s="2105"/>
      <c r="C28" s="2105"/>
      <c r="D28" s="2105"/>
      <c r="E28" s="2105"/>
      <c r="F28" s="2105"/>
      <c r="G28" s="2105"/>
      <c r="H28" s="2105"/>
      <c r="I28" s="2105"/>
      <c r="J28" s="2105"/>
      <c r="K28" s="2105"/>
      <c r="L28" s="2105"/>
      <c r="M28" s="2105"/>
      <c r="N28" s="2105"/>
      <c r="O28" s="2106"/>
    </row>
    <row r="29" spans="1:15" ht="12.75" customHeight="1">
      <c r="A29" s="2104"/>
      <c r="B29" s="2105"/>
      <c r="C29" s="2105"/>
      <c r="D29" s="2105"/>
      <c r="E29" s="2105"/>
      <c r="F29" s="2105"/>
      <c r="G29" s="2105"/>
      <c r="H29" s="2105"/>
      <c r="I29" s="2105"/>
      <c r="J29" s="2105"/>
      <c r="K29" s="2105"/>
      <c r="L29" s="2105"/>
      <c r="M29" s="2105"/>
      <c r="N29" s="2105"/>
      <c r="O29" s="2106"/>
    </row>
    <row r="30" spans="1:15" ht="12.75" customHeight="1">
      <c r="A30" s="2107"/>
      <c r="B30" s="2108"/>
      <c r="C30" s="2108"/>
      <c r="D30" s="2108"/>
      <c r="E30" s="2108"/>
      <c r="F30" s="2108"/>
      <c r="G30" s="2108"/>
      <c r="H30" s="2108"/>
      <c r="I30" s="2108"/>
      <c r="J30" s="2108"/>
      <c r="K30" s="2108"/>
      <c r="L30" s="2108"/>
      <c r="M30" s="2108"/>
      <c r="N30" s="2108"/>
      <c r="O30" s="2109"/>
    </row>
    <row r="31" spans="1:15">
      <c r="A31" s="3"/>
      <c r="B31" s="3"/>
      <c r="C31" s="3"/>
      <c r="D31" s="3"/>
      <c r="E31" s="3"/>
      <c r="F31" s="3"/>
      <c r="G31" s="3"/>
      <c r="H31" s="3"/>
      <c r="I31" s="3"/>
      <c r="J31" s="3"/>
      <c r="K31" s="3"/>
    </row>
  </sheetData>
  <sheetProtection password="92D1" sheet="1" formatCells="0" formatColumns="0" formatRows="0"/>
  <mergeCells count="11">
    <mergeCell ref="A1:F1"/>
    <mergeCell ref="A3:B3"/>
    <mergeCell ref="C3:F3"/>
    <mergeCell ref="C6:F6"/>
    <mergeCell ref="A25:O25"/>
    <mergeCell ref="A19:O23"/>
    <mergeCell ref="A26:O30"/>
    <mergeCell ref="A12:O16"/>
    <mergeCell ref="A11:K11"/>
    <mergeCell ref="A10:O10"/>
    <mergeCell ref="A18:O18"/>
  </mergeCells>
  <phoneticPr fontId="37" type="noConversion"/>
  <printOptions horizontalCentered="1"/>
  <pageMargins left="0.74803149606299213" right="0.74803149606299213" top="0.59055118110236227" bottom="0.59055118110236227" header="0.51181102362204722" footer="0.51181102362204722"/>
  <pageSetup paperSize="9" scale="67" fitToHeight="0" orientation="landscape" cellComments="asDisplayed" r:id="rId1"/>
  <headerFooter>
    <oddFooter>&amp;L&amp;9&amp;F&amp;C&amp;A&amp;R&amp;9Page &amp;P of &amp;N</oddFooter>
  </headerFooter>
</worksheet>
</file>

<file path=xl/worksheets/sheet11.xml><?xml version="1.0" encoding="utf-8"?>
<worksheet xmlns="http://schemas.openxmlformats.org/spreadsheetml/2006/main" xmlns:r="http://schemas.openxmlformats.org/officeDocument/2006/relationships">
  <sheetPr enableFormatConditionsCalculation="0">
    <tabColor indexed="11"/>
    <pageSetUpPr fitToPage="1"/>
  </sheetPr>
  <dimension ref="A1:O40"/>
  <sheetViews>
    <sheetView showGridLines="0" showRuler="0" view="pageBreakPreview" zoomScale="70" zoomScaleNormal="70" zoomScaleSheetLayoutView="70" zoomScalePageLayoutView="75" workbookViewId="0">
      <selection activeCell="C34" sqref="C34:E34"/>
    </sheetView>
  </sheetViews>
  <sheetFormatPr defaultRowHeight="12.75"/>
  <cols>
    <col min="1" max="1" width="24.42578125" style="72" customWidth="1"/>
    <col min="2" max="2" width="29" style="72" customWidth="1"/>
    <col min="3" max="3" width="29.7109375" style="72" customWidth="1"/>
    <col min="4" max="4" width="18.42578125" style="72" customWidth="1"/>
    <col min="5" max="5" width="12.28515625" style="72" customWidth="1"/>
    <col min="6" max="6" width="19.28515625" style="72" customWidth="1"/>
    <col min="7" max="7" width="9.140625" style="72"/>
    <col min="8" max="8" width="6.28515625" style="72" customWidth="1"/>
    <col min="9" max="9" width="9.140625" style="72"/>
    <col min="10" max="10" width="9.7109375" style="72" customWidth="1"/>
    <col min="11" max="11" width="18.140625" style="538" customWidth="1"/>
    <col min="12" max="13" width="20.140625" style="72" customWidth="1"/>
    <col min="14" max="16384" width="9.140625" style="72"/>
  </cols>
  <sheetData>
    <row r="1" spans="1:13" ht="25.5" customHeight="1">
      <c r="A1" s="1908" t="s">
        <v>413</v>
      </c>
      <c r="B1" s="1908"/>
      <c r="C1" s="1908"/>
      <c r="D1" s="1908"/>
      <c r="E1" s="1908"/>
      <c r="F1" s="1908"/>
      <c r="G1" s="34"/>
      <c r="H1" s="34"/>
      <c r="I1" s="34"/>
      <c r="J1" s="2"/>
      <c r="K1" s="2"/>
      <c r="L1" s="2"/>
      <c r="M1" s="3"/>
    </row>
    <row r="2" spans="1:13" s="63" customFormat="1" ht="27.75" customHeight="1" thickBot="1">
      <c r="A2" s="99" t="s">
        <v>506</v>
      </c>
      <c r="B2" s="13"/>
      <c r="C2" s="13"/>
      <c r="D2" s="37"/>
      <c r="E2" s="13"/>
      <c r="F2" s="13"/>
      <c r="G2" s="13"/>
      <c r="H2" s="38"/>
      <c r="I2" s="13"/>
      <c r="J2" s="13"/>
      <c r="K2" s="13"/>
      <c r="L2" s="13"/>
      <c r="M2" s="13"/>
    </row>
    <row r="3" spans="1:13" ht="15" customHeight="1">
      <c r="A3" s="2150" t="s">
        <v>420</v>
      </c>
      <c r="B3" s="2151"/>
      <c r="C3" s="2129" t="str">
        <f>IF('PR_Programmatic Progress_1A'!C5:F5="","",'PR_Programmatic Progress_1A'!C5:F5)</f>
        <v>Bhutan</v>
      </c>
      <c r="D3" s="2129"/>
      <c r="E3" s="2129"/>
      <c r="F3" s="2130"/>
      <c r="G3" s="3"/>
      <c r="H3" s="3"/>
      <c r="I3" s="3"/>
      <c r="J3" s="3"/>
      <c r="K3" s="3"/>
      <c r="L3" s="3"/>
      <c r="M3" s="3"/>
    </row>
    <row r="4" spans="1:13" ht="15" customHeight="1">
      <c r="A4" s="2139" t="s">
        <v>421</v>
      </c>
      <c r="B4" s="2140"/>
      <c r="C4" s="2136" t="str">
        <f>IF('PR_Programmatic Progress_1A'!C6:F6="Select","",'PR_Programmatic Progress_1A'!C6:F6)</f>
        <v>HIV/AIDS</v>
      </c>
      <c r="D4" s="2136"/>
      <c r="E4" s="2136"/>
      <c r="F4" s="2137"/>
      <c r="G4" s="3"/>
      <c r="H4" s="3"/>
      <c r="I4" s="3"/>
      <c r="J4" s="3"/>
      <c r="K4" s="3"/>
      <c r="L4" s="3"/>
      <c r="M4" s="3"/>
    </row>
    <row r="5" spans="1:13" ht="24.75" customHeight="1">
      <c r="A5" s="2139" t="s">
        <v>422</v>
      </c>
      <c r="B5" s="2140"/>
      <c r="C5" s="2143" t="str">
        <f>IF('PR_Programmatic Progress_1A'!C7:F7="","",'PR_Programmatic Progress_1A'!C7:F7)</f>
        <v>BTN-607-G03-H</v>
      </c>
      <c r="D5" s="2143"/>
      <c r="E5" s="2143"/>
      <c r="F5" s="2144"/>
      <c r="G5" s="3"/>
      <c r="H5" s="3"/>
      <c r="I5" s="3"/>
      <c r="J5" s="3"/>
      <c r="K5" s="3"/>
      <c r="L5" s="3"/>
      <c r="M5" s="3"/>
    </row>
    <row r="6" spans="1:13" s="63" customFormat="1" ht="15" customHeight="1">
      <c r="A6" s="1795" t="s">
        <v>591</v>
      </c>
      <c r="B6" s="1796"/>
      <c r="C6" s="2145" t="str">
        <f>IF('PR_Programmatic Progress_1A'!C8:F8="","",'PR_Programmatic Progress_1A'!C8:F8)</f>
        <v xml:space="preserve">Ministry of Health </v>
      </c>
      <c r="D6" s="2146"/>
      <c r="E6" s="2146"/>
      <c r="F6" s="2147"/>
      <c r="G6" s="49"/>
      <c r="H6" s="13"/>
      <c r="I6" s="13"/>
      <c r="J6" s="13"/>
      <c r="K6" s="13"/>
      <c r="L6" s="13"/>
      <c r="M6" s="13"/>
    </row>
    <row r="7" spans="1:13" ht="15" customHeight="1">
      <c r="A7" s="2139" t="s">
        <v>616</v>
      </c>
      <c r="B7" s="2140"/>
      <c r="C7" s="2154">
        <f>IF('PR_Programmatic Progress_1A'!C9:F9="","",'PR_Programmatic Progress_1A'!C9:F9)</f>
        <v>39479</v>
      </c>
      <c r="D7" s="2154"/>
      <c r="E7" s="2154"/>
      <c r="F7" s="2155"/>
      <c r="G7" s="3"/>
      <c r="H7" s="3"/>
      <c r="I7" s="3"/>
      <c r="J7" s="3"/>
      <c r="K7" s="3"/>
      <c r="L7" s="3"/>
      <c r="M7" s="3"/>
    </row>
    <row r="8" spans="1:13" ht="15" customHeight="1" thickBot="1">
      <c r="A8" s="2131" t="s">
        <v>592</v>
      </c>
      <c r="B8" s="2132"/>
      <c r="C8" s="2134" t="str">
        <f>IF('PR_Programmatic Progress_1A'!C10="Select","",'PR_Programmatic Progress_1A'!C10)</f>
        <v>USD</v>
      </c>
      <c r="D8" s="2134"/>
      <c r="E8" s="2134"/>
      <c r="F8" s="2135"/>
      <c r="G8" s="3"/>
      <c r="H8" s="3"/>
      <c r="I8" s="3"/>
      <c r="J8" s="3"/>
      <c r="K8" s="3"/>
      <c r="L8" s="3"/>
      <c r="M8" s="3"/>
    </row>
    <row r="9" spans="1:13" s="63" customFormat="1" ht="27" customHeight="1" thickBot="1">
      <c r="A9" s="98" t="s">
        <v>507</v>
      </c>
      <c r="B9" s="10"/>
      <c r="C9" s="10"/>
      <c r="D9" s="36"/>
      <c r="E9" s="10"/>
      <c r="F9" s="10"/>
      <c r="G9" s="10"/>
      <c r="H9" s="11"/>
      <c r="I9" s="10"/>
      <c r="J9" s="12"/>
      <c r="K9" s="12"/>
      <c r="L9" s="12"/>
      <c r="M9" s="13"/>
    </row>
    <row r="10" spans="1:13" s="73" customFormat="1" ht="15" customHeight="1">
      <c r="A10" s="493" t="s">
        <v>624</v>
      </c>
      <c r="B10" s="496"/>
      <c r="C10" s="53" t="s">
        <v>630</v>
      </c>
      <c r="D10" s="521" t="str">
        <f>IF('PR_Programmatic Progress_1A'!D12="Select","",'PR_Programmatic Progress_1A'!D12)</f>
        <v>Quarter</v>
      </c>
      <c r="E10" s="43" t="s">
        <v>631</v>
      </c>
      <c r="F10" s="81">
        <f>IF('PR_Programmatic Progress_1A'!F12="Select","",'PR_Programmatic Progress_1A'!F12)</f>
        <v>16</v>
      </c>
      <c r="G10" s="4"/>
      <c r="H10" s="4"/>
      <c r="I10" s="4"/>
      <c r="J10" s="4"/>
      <c r="K10" s="4"/>
      <c r="L10" s="4"/>
      <c r="M10" s="4"/>
    </row>
    <row r="11" spans="1:13" s="73" customFormat="1" ht="15" customHeight="1">
      <c r="A11" s="513" t="s">
        <v>625</v>
      </c>
      <c r="B11" s="40"/>
      <c r="C11" s="54" t="s">
        <v>593</v>
      </c>
      <c r="D11" s="519">
        <f>IF('PR_Programmatic Progress_1A'!D13="","",'PR_Programmatic Progress_1A'!D13)</f>
        <v>40848</v>
      </c>
      <c r="E11" s="5" t="s">
        <v>611</v>
      </c>
      <c r="F11" s="520">
        <f>IF('PR_Programmatic Progress_1A'!F13="","",'PR_Programmatic Progress_1A'!F13)</f>
        <v>40939</v>
      </c>
      <c r="G11" s="4"/>
      <c r="H11" s="4"/>
      <c r="I11" s="4"/>
      <c r="J11" s="4"/>
      <c r="K11" s="4"/>
      <c r="L11" s="4"/>
      <c r="M11" s="4"/>
    </row>
    <row r="12" spans="1:13" s="73" customFormat="1" ht="15" customHeight="1" thickBot="1">
      <c r="A12" s="55" t="s">
        <v>626</v>
      </c>
      <c r="B12" s="41"/>
      <c r="C12" s="1830">
        <f>IF('PR_Programmatic Progress_1A'!C14:F14="Select","",'PR_Programmatic Progress_1A'!C14:F14)</f>
        <v>16</v>
      </c>
      <c r="D12" s="1831"/>
      <c r="E12" s="1831"/>
      <c r="F12" s="1832"/>
      <c r="G12" s="4"/>
      <c r="H12" s="4"/>
      <c r="I12" s="4"/>
      <c r="J12" s="4"/>
      <c r="K12" s="4"/>
      <c r="L12" s="4"/>
      <c r="M12" s="4"/>
    </row>
    <row r="13" spans="1:13" s="63" customFormat="1" ht="27" customHeight="1" thickBot="1">
      <c r="A13" s="98" t="s">
        <v>508</v>
      </c>
      <c r="B13" s="10"/>
      <c r="C13" s="10"/>
      <c r="D13" s="36"/>
      <c r="E13" s="10"/>
      <c r="F13" s="10"/>
      <c r="G13" s="10"/>
      <c r="H13" s="11"/>
      <c r="I13" s="10"/>
      <c r="J13" s="12"/>
      <c r="K13" s="12"/>
      <c r="L13" s="12"/>
      <c r="M13" s="13"/>
    </row>
    <row r="14" spans="1:13" s="73" customFormat="1" ht="15" customHeight="1">
      <c r="A14" s="493" t="s">
        <v>582</v>
      </c>
      <c r="B14" s="496"/>
      <c r="C14" s="53" t="s">
        <v>630</v>
      </c>
      <c r="D14" s="521" t="str">
        <f>IF('PR_Programmatic Progress_1A'!D16="Select","",'PR_Programmatic Progress_1A'!D16)</f>
        <v/>
      </c>
      <c r="E14" s="43" t="s">
        <v>631</v>
      </c>
      <c r="F14" s="81">
        <f>IF('PR_Programmatic Progress_1A'!F16="Select","",'PR_Programmatic Progress_1A'!F16)</f>
        <v>0</v>
      </c>
      <c r="G14" s="4"/>
      <c r="H14" s="4"/>
      <c r="I14" s="4"/>
      <c r="J14" s="4"/>
      <c r="K14" s="4"/>
      <c r="L14" s="4"/>
      <c r="M14" s="4"/>
    </row>
    <row r="15" spans="1:13" s="73" customFormat="1" ht="15" customHeight="1">
      <c r="A15" s="513" t="s">
        <v>22</v>
      </c>
      <c r="B15" s="40"/>
      <c r="C15" s="54" t="s">
        <v>593</v>
      </c>
      <c r="D15" s="519" t="str">
        <f>IF('PR_Programmatic Progress_1A'!D17="","",'PR_Programmatic Progress_1A'!D17)</f>
        <v/>
      </c>
      <c r="E15" s="5" t="s">
        <v>611</v>
      </c>
      <c r="F15" s="520" t="str">
        <f>IF('PR_Programmatic Progress_1A'!F17="","",'PR_Programmatic Progress_1A'!F17)</f>
        <v/>
      </c>
      <c r="G15" s="4"/>
      <c r="H15" s="4"/>
      <c r="I15" s="4"/>
      <c r="J15" s="4"/>
      <c r="K15" s="4"/>
      <c r="L15" s="4"/>
      <c r="M15" s="4"/>
    </row>
    <row r="16" spans="1:13" s="73" customFormat="1" ht="15" customHeight="1" thickBot="1">
      <c r="A16" s="55" t="s">
        <v>23</v>
      </c>
      <c r="B16" s="41"/>
      <c r="C16" s="1830">
        <f>IF('PR_Programmatic Progress_1A'!C18:F18="Select","",'PR_Programmatic Progress_1A'!C18:F18)</f>
        <v>0</v>
      </c>
      <c r="D16" s="1831"/>
      <c r="E16" s="1831"/>
      <c r="F16" s="1832"/>
      <c r="G16" s="4"/>
      <c r="H16" s="4"/>
      <c r="I16" s="4"/>
      <c r="J16" s="4"/>
      <c r="K16" s="4"/>
      <c r="L16" s="4"/>
      <c r="M16" s="4"/>
    </row>
    <row r="17" spans="1:15" ht="16.5" customHeight="1">
      <c r="A17" s="42"/>
      <c r="B17" s="42"/>
      <c r="C17" s="24"/>
      <c r="D17" s="24"/>
      <c r="E17" s="24"/>
      <c r="F17" s="24"/>
      <c r="G17" s="31"/>
      <c r="H17" s="31"/>
      <c r="I17" s="31"/>
      <c r="J17" s="31"/>
      <c r="K17" s="31"/>
      <c r="L17" s="31"/>
      <c r="M17" s="31"/>
    </row>
    <row r="18" spans="1:15" ht="36.75" customHeight="1">
      <c r="A18" s="165" t="s">
        <v>218</v>
      </c>
      <c r="B18" s="166"/>
      <c r="C18" s="7"/>
      <c r="D18" s="6"/>
      <c r="E18" s="6"/>
      <c r="F18" s="6"/>
      <c r="G18" s="6"/>
      <c r="H18" s="7"/>
      <c r="I18" s="6"/>
      <c r="J18" s="6"/>
      <c r="K18" s="8"/>
      <c r="L18" s="6"/>
      <c r="M18" s="2"/>
      <c r="N18" s="69"/>
      <c r="O18" s="69"/>
    </row>
    <row r="19" spans="1:15" s="74" customFormat="1" ht="18.75" thickBot="1">
      <c r="A19" s="2141" t="s">
        <v>608</v>
      </c>
      <c r="B19" s="2142"/>
      <c r="C19" s="2142"/>
      <c r="D19" s="2142"/>
      <c r="E19" s="2142"/>
      <c r="F19" s="2142"/>
      <c r="G19" s="2142"/>
      <c r="H19" s="2142"/>
      <c r="I19" s="2142"/>
      <c r="J19" s="2142"/>
      <c r="K19" s="2142"/>
      <c r="L19" s="2142"/>
      <c r="M19" s="2142"/>
    </row>
    <row r="20" spans="1:15" s="74" customFormat="1" ht="15.75">
      <c r="A20" s="1841"/>
      <c r="B20" s="1841"/>
      <c r="C20" s="1841"/>
      <c r="D20" s="1841"/>
      <c r="E20" s="1841"/>
      <c r="F20" s="1841"/>
      <c r="G20" s="1841"/>
      <c r="H20" s="1841"/>
      <c r="I20" s="1841"/>
      <c r="J20" s="1841"/>
      <c r="K20" s="1841"/>
      <c r="L20" s="1841"/>
      <c r="M20" s="1841"/>
    </row>
    <row r="21" spans="1:15" s="74" customFormat="1" ht="15.75">
      <c r="A21" s="22" t="s">
        <v>500</v>
      </c>
      <c r="B21" s="18"/>
      <c r="C21" s="18"/>
      <c r="D21" s="18"/>
      <c r="E21" s="18"/>
      <c r="F21" s="18"/>
      <c r="G21" s="18"/>
      <c r="H21" s="18"/>
      <c r="I21" s="18"/>
      <c r="J21" s="18"/>
      <c r="K21" s="18"/>
      <c r="L21" s="26"/>
      <c r="M21" s="26"/>
    </row>
    <row r="22" spans="1:15" s="74" customFormat="1" ht="15.75">
      <c r="A22" s="22"/>
      <c r="B22" s="18"/>
      <c r="C22" s="18"/>
      <c r="D22" s="18"/>
      <c r="E22" s="18"/>
      <c r="F22" s="18"/>
      <c r="G22" s="18"/>
      <c r="H22" s="18"/>
      <c r="I22" s="18"/>
      <c r="J22" s="18"/>
      <c r="K22" s="18"/>
      <c r="L22" s="26"/>
      <c r="M22" s="26"/>
    </row>
    <row r="23" spans="1:15" s="74" customFormat="1" ht="29.25" customHeight="1">
      <c r="A23" s="2152" t="s">
        <v>170</v>
      </c>
      <c r="B23" s="2153"/>
      <c r="C23" s="2153"/>
      <c r="D23" s="817">
        <f>+'PR_Disbursement Request_5B'!S36</f>
        <v>0</v>
      </c>
      <c r="E23" s="463"/>
      <c r="F23" s="17"/>
      <c r="G23" s="18"/>
      <c r="H23" s="18"/>
      <c r="I23" s="18"/>
      <c r="J23" s="18"/>
      <c r="K23" s="18"/>
      <c r="L23" s="26"/>
      <c r="M23" s="26"/>
    </row>
    <row r="24" spans="1:15" s="74" customFormat="1" ht="12" customHeight="1">
      <c r="A24" s="22"/>
      <c r="B24" s="18"/>
      <c r="C24" s="18"/>
      <c r="D24" s="18"/>
      <c r="E24" s="18"/>
      <c r="F24" s="18"/>
      <c r="G24" s="18"/>
      <c r="H24" s="18"/>
      <c r="I24" s="18"/>
      <c r="J24" s="18"/>
      <c r="K24" s="18"/>
      <c r="L24" s="26"/>
      <c r="M24" s="26"/>
    </row>
    <row r="25" spans="1:15" s="74" customFormat="1" ht="15.75">
      <c r="A25" s="22" t="str">
        <f>"2.  Amount requested in words (in: "&amp;IF('PR_Programmatic Progress_1A'!$C$10="Select","please select currency in 'PR_Section 1A')",'PR_Programmatic Progress_1A'!$C$10&amp;"):")</f>
        <v>2.  Amount requested in words (in: USD):</v>
      </c>
      <c r="B25" s="18"/>
      <c r="C25" s="17"/>
      <c r="D25" s="2149">
        <v>0</v>
      </c>
      <c r="E25" s="2149"/>
      <c r="F25" s="2149"/>
      <c r="G25" s="2149"/>
      <c r="H25" s="2149"/>
      <c r="I25" s="2149"/>
      <c r="J25" s="2149"/>
      <c r="K25" s="2149"/>
      <c r="L25" s="2149"/>
      <c r="M25" s="26"/>
    </row>
    <row r="26" spans="1:15" s="74" customFormat="1" ht="20.100000000000001" customHeight="1">
      <c r="A26" s="27"/>
      <c r="B26" s="27"/>
      <c r="C26" s="27"/>
      <c r="D26" s="27"/>
      <c r="E26" s="27"/>
      <c r="F26" s="27"/>
      <c r="G26" s="27"/>
      <c r="H26" s="27"/>
      <c r="I26" s="27"/>
      <c r="J26" s="27"/>
      <c r="K26" s="28"/>
      <c r="L26" s="27"/>
      <c r="M26" s="27"/>
    </row>
    <row r="27" spans="1:15" s="74" customFormat="1" ht="20.100000000000001" customHeight="1">
      <c r="A27" s="2141" t="s">
        <v>617</v>
      </c>
      <c r="B27" s="2142"/>
      <c r="C27" s="2142"/>
      <c r="D27" s="2142"/>
      <c r="E27" s="2142"/>
      <c r="F27" s="2142"/>
      <c r="G27" s="2142"/>
      <c r="H27" s="2142"/>
      <c r="I27" s="2142"/>
      <c r="J27" s="2142"/>
      <c r="K27" s="2142"/>
      <c r="L27" s="2142"/>
      <c r="M27" s="2142"/>
    </row>
    <row r="28" spans="1:15" s="510" customFormat="1" ht="45.75" customHeight="1">
      <c r="A28" s="2138" t="s">
        <v>620</v>
      </c>
      <c r="B28" s="2138"/>
      <c r="C28" s="2138"/>
      <c r="D28" s="2138"/>
      <c r="E28" s="2138"/>
      <c r="F28" s="2138"/>
      <c r="G28" s="2138"/>
      <c r="H28" s="2138"/>
      <c r="I28" s="2138"/>
      <c r="J28" s="2138"/>
      <c r="K28" s="2138"/>
      <c r="L28" s="2138"/>
      <c r="M28" s="2138"/>
    </row>
    <row r="29" spans="1:15" s="510" customFormat="1">
      <c r="A29" s="23"/>
      <c r="B29" s="23"/>
      <c r="C29" s="23"/>
      <c r="D29" s="23"/>
      <c r="E29" s="23"/>
      <c r="F29" s="23"/>
      <c r="G29" s="23"/>
      <c r="H29" s="29"/>
      <c r="I29" s="23"/>
      <c r="J29" s="23"/>
      <c r="K29" s="30"/>
      <c r="L29" s="23"/>
      <c r="M29" s="23"/>
    </row>
    <row r="30" spans="1:15" s="510" customFormat="1" ht="37.5" customHeight="1">
      <c r="A30" s="2138" t="s">
        <v>609</v>
      </c>
      <c r="B30" s="2138"/>
      <c r="C30" s="2148"/>
      <c r="D30" s="2148"/>
      <c r="E30" s="2148"/>
      <c r="F30" s="23"/>
      <c r="G30" s="23"/>
      <c r="H30" s="29"/>
      <c r="I30" s="23"/>
      <c r="J30" s="23"/>
      <c r="K30" s="30"/>
      <c r="L30" s="23"/>
      <c r="M30" s="23"/>
    </row>
    <row r="31" spans="1:15" ht="14.25">
      <c r="A31" s="3"/>
      <c r="B31" s="3"/>
      <c r="C31" s="816"/>
      <c r="D31" s="816"/>
      <c r="E31" s="816"/>
      <c r="F31" s="3"/>
      <c r="G31" s="3"/>
      <c r="H31" s="31"/>
      <c r="I31" s="3"/>
      <c r="J31" s="3"/>
      <c r="K31" s="16"/>
      <c r="L31" s="3"/>
      <c r="M31" s="3"/>
    </row>
    <row r="32" spans="1:15" ht="28.5" customHeight="1">
      <c r="A32" s="32" t="s">
        <v>613</v>
      </c>
      <c r="B32" s="3"/>
      <c r="C32" s="2133" t="s">
        <v>1175</v>
      </c>
      <c r="D32" s="2133"/>
      <c r="E32" s="2133"/>
      <c r="F32" s="3"/>
      <c r="G32" s="3"/>
      <c r="H32" s="31"/>
      <c r="I32" s="3"/>
      <c r="J32" s="3"/>
      <c r="K32" s="16"/>
      <c r="L32" s="3"/>
      <c r="M32" s="3"/>
    </row>
    <row r="33" spans="1:13" ht="25.5" customHeight="1">
      <c r="A33" s="32" t="s">
        <v>614</v>
      </c>
      <c r="B33" s="3"/>
      <c r="C33" s="2133" t="s">
        <v>1176</v>
      </c>
      <c r="D33" s="2133"/>
      <c r="E33" s="2133"/>
      <c r="F33" s="3"/>
      <c r="G33" s="3"/>
      <c r="H33" s="31"/>
      <c r="I33" s="3"/>
      <c r="J33" s="3"/>
      <c r="K33" s="16"/>
      <c r="L33" s="3"/>
      <c r="M33" s="3"/>
    </row>
    <row r="34" spans="1:13" ht="25.5" customHeight="1">
      <c r="A34" s="32" t="s">
        <v>615</v>
      </c>
      <c r="B34" s="3"/>
      <c r="C34" s="2133" t="s">
        <v>1177</v>
      </c>
      <c r="D34" s="2133"/>
      <c r="E34" s="2133"/>
      <c r="F34" s="3"/>
      <c r="G34" s="3"/>
      <c r="H34" s="31"/>
      <c r="I34" s="3"/>
      <c r="J34" s="3"/>
      <c r="K34" s="16"/>
      <c r="L34" s="3"/>
      <c r="M34" s="3"/>
    </row>
    <row r="35" spans="1:13">
      <c r="A35" s="3"/>
      <c r="B35" s="3"/>
      <c r="C35" s="3"/>
      <c r="D35" s="3"/>
      <c r="E35" s="3"/>
      <c r="F35" s="3"/>
      <c r="G35" s="3"/>
      <c r="H35" s="31"/>
      <c r="I35" s="3"/>
      <c r="J35" s="3"/>
      <c r="K35" s="16"/>
      <c r="L35" s="3"/>
      <c r="M35" s="3"/>
    </row>
    <row r="36" spans="1:13">
      <c r="A36" s="3"/>
      <c r="B36" s="3"/>
      <c r="C36" s="3"/>
      <c r="D36" s="3"/>
      <c r="E36" s="3"/>
      <c r="F36" s="3"/>
      <c r="G36" s="3"/>
      <c r="H36" s="31"/>
      <c r="I36" s="3"/>
      <c r="J36" s="3"/>
      <c r="K36" s="16"/>
      <c r="L36" s="3"/>
      <c r="M36" s="3"/>
    </row>
    <row r="37" spans="1:13">
      <c r="A37" s="2125" t="s">
        <v>236</v>
      </c>
      <c r="B37" s="2126"/>
      <c r="C37" s="2126"/>
      <c r="D37" s="2126"/>
      <c r="E37" s="2126"/>
      <c r="F37" s="2126"/>
      <c r="G37" s="2126"/>
      <c r="H37" s="2127"/>
      <c r="I37" s="2126"/>
      <c r="J37" s="2126"/>
      <c r="K37" s="2128"/>
      <c r="L37" s="2126"/>
      <c r="M37" s="2126"/>
    </row>
    <row r="38" spans="1:13">
      <c r="A38" s="2126"/>
      <c r="B38" s="2126"/>
      <c r="C38" s="2126"/>
      <c r="D38" s="2126"/>
      <c r="E38" s="2126"/>
      <c r="F38" s="2126"/>
      <c r="G38" s="2126"/>
      <c r="H38" s="2127"/>
      <c r="I38" s="2126"/>
      <c r="J38" s="2126"/>
      <c r="K38" s="2128"/>
      <c r="L38" s="2126"/>
      <c r="M38" s="2126"/>
    </row>
    <row r="39" spans="1:13">
      <c r="A39" s="2126"/>
      <c r="B39" s="2126"/>
      <c r="C39" s="2126"/>
      <c r="D39" s="2126"/>
      <c r="E39" s="2126"/>
      <c r="F39" s="2126"/>
      <c r="G39" s="2126"/>
      <c r="H39" s="2127"/>
      <c r="I39" s="2126"/>
      <c r="J39" s="2126"/>
      <c r="K39" s="2128"/>
      <c r="L39" s="2126"/>
      <c r="M39" s="2126"/>
    </row>
    <row r="40" spans="1:13">
      <c r="A40" s="3"/>
      <c r="B40" s="3"/>
      <c r="C40" s="3"/>
      <c r="D40" s="3"/>
      <c r="E40" s="3"/>
      <c r="F40" s="3"/>
      <c r="G40" s="3"/>
      <c r="H40" s="31"/>
      <c r="I40" s="3"/>
      <c r="J40" s="3"/>
      <c r="K40" s="16"/>
      <c r="L40" s="3"/>
      <c r="M40" s="3"/>
    </row>
  </sheetData>
  <sheetProtection password="92D1" sheet="1" formatCells="0" formatColumns="0"/>
  <customSheetViews>
    <customSheetView guid="{E26F941C-F347-432D-B4B3-73B25F002075}" scale="75" showGridLines="0" fitToPage="1">
      <selection activeCell="I16" sqref="I16"/>
      <pageMargins left="0.47" right="0.43" top="0.47" bottom="0.56999999999999995" header="0.41" footer="0.34"/>
      <printOptions horizontalCentered="1"/>
      <pageSetup paperSize="9" scale="56" orientation="landscape" cellComments="asDisplayed" r:id="rId1"/>
      <headerFooter alignWithMargins="0">
        <oddFooter>&amp;L&amp;9SD 3.1A - Form, Ongoing DR/PU and LFA Review and Recommendation_v2.1 February 2006&amp;R&amp;9Page &amp;P of &amp;N</oddFooter>
      </headerFooter>
    </customSheetView>
  </customSheetViews>
  <mergeCells count="27">
    <mergeCell ref="A19:M19"/>
    <mergeCell ref="A1:F1"/>
    <mergeCell ref="A30:B30"/>
    <mergeCell ref="C30:E30"/>
    <mergeCell ref="D25:L25"/>
    <mergeCell ref="A3:B3"/>
    <mergeCell ref="A4:B4"/>
    <mergeCell ref="A23:C23"/>
    <mergeCell ref="A5:B5"/>
    <mergeCell ref="C7:F7"/>
    <mergeCell ref="C12:F12"/>
    <mergeCell ref="A37:M39"/>
    <mergeCell ref="C3:F3"/>
    <mergeCell ref="A8:B8"/>
    <mergeCell ref="C34:E34"/>
    <mergeCell ref="C33:E33"/>
    <mergeCell ref="C16:F16"/>
    <mergeCell ref="C8:F8"/>
    <mergeCell ref="C4:F4"/>
    <mergeCell ref="C32:E32"/>
    <mergeCell ref="A28:M28"/>
    <mergeCell ref="A7:B7"/>
    <mergeCell ref="A27:M27"/>
    <mergeCell ref="C5:F5"/>
    <mergeCell ref="A6:B6"/>
    <mergeCell ref="C6:F6"/>
    <mergeCell ref="A20:M20"/>
  </mergeCells>
  <phoneticPr fontId="0" type="noConversion"/>
  <dataValidations count="1">
    <dataValidation type="list" allowBlank="1" showInputMessage="1" showErrorMessage="1" sqref="C9:G9 C13:G13">
      <formula1>"Select,USD,EUR"</formula1>
    </dataValidation>
  </dataValidations>
  <printOptions horizontalCentered="1"/>
  <pageMargins left="0.74803149606299213" right="0.74803149606299213" top="0.59055118110236227" bottom="0.59055118110236227" header="0.51181102362204722" footer="0.51181102362204722"/>
  <pageSetup paperSize="9" scale="58" fitToHeight="0" orientation="landscape" cellComments="asDisplayed" r:id="rId2"/>
  <headerFooter alignWithMargins="0">
    <oddFooter>&amp;L&amp;9&amp;F&amp;C&amp;A&amp;R&amp;9Page &amp;P of &amp;N</oddFooter>
  </headerFooter>
  <ignoredErrors>
    <ignoredError sqref="C6" unlockedFormula="1"/>
  </ignoredErrors>
</worksheet>
</file>

<file path=xl/worksheets/sheet12.xml><?xml version="1.0" encoding="utf-8"?>
<worksheet xmlns="http://schemas.openxmlformats.org/spreadsheetml/2006/main" xmlns:r="http://schemas.openxmlformats.org/officeDocument/2006/relationships">
  <sheetPr>
    <tabColor indexed="11"/>
    <pageSetUpPr fitToPage="1"/>
  </sheetPr>
  <dimension ref="A1:M82"/>
  <sheetViews>
    <sheetView view="pageBreakPreview" topLeftCell="A22" zoomScale="60" zoomScaleNormal="70" workbookViewId="0">
      <selection activeCell="D12" sqref="D12"/>
    </sheetView>
  </sheetViews>
  <sheetFormatPr defaultColWidth="13.28515625" defaultRowHeight="12.75"/>
  <cols>
    <col min="1" max="1" width="2.42578125" style="761" customWidth="1"/>
    <col min="2" max="2" width="50" style="761" customWidth="1"/>
    <col min="3" max="3" width="50.140625" style="761" customWidth="1"/>
    <col min="4" max="4" width="20.85546875" style="761" customWidth="1"/>
    <col min="5" max="5" width="25.28515625" style="761" customWidth="1"/>
    <col min="6" max="6" width="43.85546875" style="761" customWidth="1"/>
    <col min="7" max="7" width="4.140625" style="761" customWidth="1"/>
    <col min="8" max="8" width="10.140625" style="761" customWidth="1"/>
    <col min="9" max="224" width="9.140625" style="761" customWidth="1"/>
    <col min="225" max="225" width="2.42578125" style="761" customWidth="1"/>
    <col min="226" max="226" width="1.7109375" style="761" customWidth="1"/>
    <col min="227" max="227" width="7" style="761" customWidth="1"/>
    <col min="228" max="228" width="10.140625" style="761" customWidth="1"/>
    <col min="229" max="229" width="15" style="761" customWidth="1"/>
    <col min="230" max="233" width="5.42578125" style="761" customWidth="1"/>
    <col min="234" max="250" width="4.140625" style="761" customWidth="1"/>
    <col min="251" max="251" width="1.7109375" style="761" customWidth="1"/>
    <col min="252" max="16384" width="13.28515625" style="761"/>
  </cols>
  <sheetData>
    <row r="1" spans="1:8" ht="25.5" customHeight="1">
      <c r="A1" s="2156" t="s">
        <v>413</v>
      </c>
      <c r="B1" s="2156"/>
      <c r="C1" s="2156"/>
      <c r="D1" s="2156"/>
    </row>
    <row r="2" spans="1:8" ht="7.5" customHeight="1"/>
    <row r="3" spans="1:8" ht="34.5" customHeight="1">
      <c r="A3" s="2157" t="s">
        <v>186</v>
      </c>
      <c r="B3" s="2157"/>
      <c r="C3" s="2157"/>
      <c r="D3" s="2157"/>
      <c r="E3" s="2157"/>
      <c r="F3" s="1007"/>
    </row>
    <row r="4" spans="1:8" ht="7.5" customHeight="1"/>
    <row r="5" spans="1:8" ht="18.75" customHeight="1">
      <c r="B5" s="1270" t="s">
        <v>219</v>
      </c>
      <c r="C5" s="1270"/>
      <c r="D5" s="1270"/>
      <c r="E5" s="1270"/>
      <c r="F5" s="1270"/>
    </row>
    <row r="6" spans="1:8" ht="10.5" customHeight="1"/>
    <row r="7" spans="1:8" ht="23.25" customHeight="1">
      <c r="B7" s="560" t="s">
        <v>135</v>
      </c>
      <c r="C7" s="681"/>
    </row>
    <row r="8" spans="1:8" ht="6.75" customHeight="1"/>
    <row r="9" spans="1:8" ht="22.5" customHeight="1">
      <c r="B9" s="1005" t="s">
        <v>136</v>
      </c>
      <c r="C9" s="1005"/>
      <c r="D9" s="1005"/>
      <c r="E9" s="1005"/>
      <c r="F9" s="1005"/>
    </row>
    <row r="10" spans="1:8" ht="10.5" customHeight="1" thickBot="1"/>
    <row r="11" spans="1:8" s="762" customFormat="1" ht="29.25" customHeight="1">
      <c r="B11" s="562"/>
      <c r="C11" s="563" t="s">
        <v>137</v>
      </c>
      <c r="D11" s="899" t="s">
        <v>187</v>
      </c>
    </row>
    <row r="12" spans="1:8" s="762" customFormat="1" ht="30.75" customHeight="1">
      <c r="B12" s="1290" t="s">
        <v>188</v>
      </c>
      <c r="C12" s="871" t="str">
        <f>C20</f>
        <v xml:space="preserve">Ministry of Health </v>
      </c>
      <c r="D12" s="873">
        <f>IF(C30="",C24,C30)</f>
        <v>0</v>
      </c>
    </row>
    <row r="13" spans="1:8" s="762" customFormat="1" ht="30.75" customHeight="1">
      <c r="B13" s="1290" t="s">
        <v>139</v>
      </c>
      <c r="C13" s="871">
        <f>C36</f>
        <v>0</v>
      </c>
      <c r="D13" s="873">
        <f>IF(C46="",C40,C46)</f>
        <v>0</v>
      </c>
    </row>
    <row r="14" spans="1:8" s="762" customFormat="1" ht="30.75" customHeight="1">
      <c r="B14" s="1290" t="s">
        <v>140</v>
      </c>
      <c r="C14" s="871">
        <f>C53</f>
        <v>0</v>
      </c>
      <c r="D14" s="873">
        <f>IF(C63="",C57,C63)</f>
        <v>0</v>
      </c>
    </row>
    <row r="15" spans="1:8" s="762" customFormat="1" ht="30.75" customHeight="1" thickBot="1">
      <c r="B15" s="1291" t="s">
        <v>141</v>
      </c>
      <c r="C15" s="682">
        <f>C69</f>
        <v>0</v>
      </c>
      <c r="D15" s="874">
        <f>IF(C79="",C73,C79)</f>
        <v>0</v>
      </c>
    </row>
    <row r="16" spans="1:8" s="762" customFormat="1" ht="33.75" customHeight="1" thickBot="1">
      <c r="B16" s="1008" t="s">
        <v>185</v>
      </c>
      <c r="C16" s="1009"/>
      <c r="D16" s="875">
        <f>SUM(D12:D15)</f>
        <v>0</v>
      </c>
      <c r="E16" s="2158" t="str">
        <f>IF(D16&lt;&gt;'PR_Cash Request_7A&amp;B'!D23,"The total does not match requested amount on PR signature page","")</f>
        <v/>
      </c>
      <c r="F16" s="2159"/>
      <c r="H16" s="901"/>
    </row>
    <row r="17" spans="2:13" s="762" customFormat="1" ht="6" customHeight="1">
      <c r="L17" s="764"/>
      <c r="M17" s="764"/>
    </row>
    <row r="18" spans="2:13" s="762" customFormat="1" ht="15">
      <c r="B18" s="1006" t="s">
        <v>138</v>
      </c>
      <c r="C18" s="1006"/>
      <c r="D18" s="1006"/>
      <c r="E18" s="1006"/>
      <c r="F18" s="1006"/>
      <c r="G18" s="763"/>
      <c r="H18" s="763"/>
      <c r="I18" s="763"/>
      <c r="J18" s="763"/>
      <c r="K18" s="763"/>
      <c r="L18" s="763"/>
      <c r="M18" s="763"/>
    </row>
    <row r="19" spans="2:13" ht="10.5" customHeight="1"/>
    <row r="20" spans="2:13" s="762" customFormat="1" ht="30.75" customHeight="1">
      <c r="B20" s="461" t="s">
        <v>142</v>
      </c>
      <c r="C20" s="870" t="s">
        <v>657</v>
      </c>
      <c r="E20" s="905" t="s">
        <v>621</v>
      </c>
      <c r="F20" s="1319" t="s">
        <v>1</v>
      </c>
    </row>
    <row r="21" spans="2:13" s="762" customFormat="1" ht="6" customHeight="1">
      <c r="C21" s="872"/>
      <c r="E21" s="903"/>
      <c r="F21" s="906"/>
    </row>
    <row r="22" spans="2:13" s="762" customFormat="1" ht="25.5" customHeight="1">
      <c r="B22" s="902" t="s">
        <v>192</v>
      </c>
      <c r="C22" s="870" t="s">
        <v>658</v>
      </c>
      <c r="E22" s="905" t="s">
        <v>621</v>
      </c>
      <c r="F22" s="1319" t="s">
        <v>4</v>
      </c>
    </row>
    <row r="23" spans="2:13" s="762" customFormat="1" ht="8.25" customHeight="1">
      <c r="C23" s="872"/>
      <c r="E23" s="903"/>
      <c r="F23" s="906"/>
    </row>
    <row r="24" spans="2:13" s="762" customFormat="1" ht="33.75" customHeight="1">
      <c r="B24" s="462" t="s">
        <v>189</v>
      </c>
      <c r="C24" s="1110"/>
      <c r="D24" s="561"/>
      <c r="E24" s="905" t="s">
        <v>144</v>
      </c>
      <c r="F24" s="1401">
        <v>2108337</v>
      </c>
    </row>
    <row r="25" spans="2:13" s="762" customFormat="1" ht="6" customHeight="1">
      <c r="C25" s="872"/>
      <c r="E25" s="903"/>
      <c r="F25" s="906"/>
    </row>
    <row r="26" spans="2:13" s="762" customFormat="1" ht="35.25" customHeight="1">
      <c r="B26" s="462" t="s">
        <v>143</v>
      </c>
      <c r="C26" s="870"/>
      <c r="E26" s="905" t="s">
        <v>193</v>
      </c>
      <c r="F26" s="1319" t="s">
        <v>3</v>
      </c>
    </row>
    <row r="27" spans="2:13" s="762" customFormat="1" ht="7.5" customHeight="1">
      <c r="C27" s="872"/>
      <c r="E27" s="903"/>
      <c r="F27" s="906"/>
    </row>
    <row r="28" spans="2:13" s="762" customFormat="1" ht="44.25" customHeight="1">
      <c r="B28" s="462" t="s">
        <v>190</v>
      </c>
      <c r="C28" s="1111"/>
      <c r="E28" s="905" t="s">
        <v>622</v>
      </c>
      <c r="F28" s="1319" t="s">
        <v>2</v>
      </c>
    </row>
    <row r="29" spans="2:13" ht="10.5" customHeight="1">
      <c r="E29" s="904"/>
      <c r="F29" s="906"/>
    </row>
    <row r="30" spans="2:13" s="762" customFormat="1" ht="36.75" customHeight="1">
      <c r="B30" s="462" t="s">
        <v>191</v>
      </c>
      <c r="C30" s="1110"/>
      <c r="E30" s="905" t="s">
        <v>145</v>
      </c>
      <c r="F30" s="1319"/>
    </row>
    <row r="31" spans="2:13" ht="10.5" customHeight="1">
      <c r="E31" s="904"/>
      <c r="F31" s="763"/>
    </row>
    <row r="32" spans="2:13" s="762" customFormat="1" ht="36.75" customHeight="1">
      <c r="B32" s="907"/>
      <c r="C32" s="908"/>
      <c r="E32" s="905" t="s">
        <v>146</v>
      </c>
      <c r="F32" s="1319"/>
    </row>
    <row r="33" spans="2:13" s="762" customFormat="1" ht="6.75" customHeight="1">
      <c r="B33" s="561"/>
      <c r="C33" s="561"/>
    </row>
    <row r="34" spans="2:13" s="762" customFormat="1" ht="15">
      <c r="B34" s="1006" t="s">
        <v>139</v>
      </c>
      <c r="C34" s="1006"/>
      <c r="D34" s="1006"/>
      <c r="E34" s="1006"/>
      <c r="F34" s="1006"/>
      <c r="G34" s="763"/>
      <c r="H34" s="763"/>
      <c r="I34" s="763"/>
      <c r="J34" s="763"/>
      <c r="K34" s="763"/>
      <c r="L34" s="763"/>
      <c r="M34" s="763"/>
    </row>
    <row r="35" spans="2:13" ht="10.5" customHeight="1"/>
    <row r="36" spans="2:13" s="762" customFormat="1" ht="30.75" customHeight="1">
      <c r="B36" s="461" t="s">
        <v>142</v>
      </c>
      <c r="C36" s="870"/>
      <c r="E36" s="905" t="s">
        <v>621</v>
      </c>
      <c r="F36" s="1319"/>
    </row>
    <row r="37" spans="2:13" s="762" customFormat="1" ht="6" customHeight="1">
      <c r="C37" s="872"/>
      <c r="E37" s="903"/>
      <c r="F37" s="906"/>
    </row>
    <row r="38" spans="2:13" s="762" customFormat="1" ht="25.5" customHeight="1">
      <c r="B38" s="902" t="s">
        <v>192</v>
      </c>
      <c r="C38" s="870"/>
      <c r="E38" s="905" t="s">
        <v>621</v>
      </c>
      <c r="F38" s="1319"/>
    </row>
    <row r="39" spans="2:13" s="762" customFormat="1" ht="8.25" customHeight="1">
      <c r="C39" s="872"/>
      <c r="E39" s="903"/>
      <c r="F39" s="906"/>
    </row>
    <row r="40" spans="2:13" s="762" customFormat="1" ht="33.75" customHeight="1">
      <c r="B40" s="462" t="s">
        <v>189</v>
      </c>
      <c r="C40" s="1110"/>
      <c r="D40" s="561"/>
      <c r="E40" s="905" t="s">
        <v>144</v>
      </c>
      <c r="F40" s="1319"/>
    </row>
    <row r="41" spans="2:13" s="762" customFormat="1" ht="6" customHeight="1">
      <c r="C41" s="872"/>
      <c r="E41" s="903"/>
      <c r="F41" s="906"/>
    </row>
    <row r="42" spans="2:13" s="762" customFormat="1" ht="28.5" customHeight="1">
      <c r="B42" s="462" t="s">
        <v>143</v>
      </c>
      <c r="C42" s="870"/>
      <c r="E42" s="905" t="s">
        <v>193</v>
      </c>
      <c r="F42" s="1319"/>
    </row>
    <row r="43" spans="2:13" s="762" customFormat="1" ht="7.5" customHeight="1">
      <c r="C43" s="872"/>
      <c r="E43" s="903"/>
      <c r="F43" s="906"/>
    </row>
    <row r="44" spans="2:13" s="762" customFormat="1" ht="44.25" customHeight="1">
      <c r="B44" s="462" t="s">
        <v>190</v>
      </c>
      <c r="C44" s="1111"/>
      <c r="E44" s="905" t="s">
        <v>622</v>
      </c>
      <c r="F44" s="1319"/>
    </row>
    <row r="45" spans="2:13" ht="10.5" customHeight="1">
      <c r="E45" s="904"/>
      <c r="F45" s="906"/>
    </row>
    <row r="46" spans="2:13" s="762" customFormat="1" ht="36.75" customHeight="1">
      <c r="B46" s="462" t="s">
        <v>191</v>
      </c>
      <c r="C46" s="1110"/>
      <c r="E46" s="905" t="s">
        <v>145</v>
      </c>
      <c r="F46" s="1319"/>
    </row>
    <row r="47" spans="2:13" ht="10.5" customHeight="1">
      <c r="E47" s="904"/>
      <c r="F47" s="763"/>
    </row>
    <row r="48" spans="2:13" s="762" customFormat="1" ht="30.75" customHeight="1">
      <c r="B48" s="907"/>
      <c r="C48" s="908"/>
      <c r="E48" s="905" t="s">
        <v>146</v>
      </c>
      <c r="F48" s="1319"/>
    </row>
    <row r="49" spans="2:13" s="762" customFormat="1" ht="5.25" customHeight="1">
      <c r="B49" s="561"/>
      <c r="C49" s="561"/>
    </row>
    <row r="50" spans="2:13" s="762" customFormat="1" ht="2.25" customHeight="1">
      <c r="L50" s="764"/>
      <c r="M50" s="764"/>
    </row>
    <row r="51" spans="2:13" s="762" customFormat="1" ht="15">
      <c r="B51" s="1006" t="s">
        <v>140</v>
      </c>
      <c r="C51" s="1006"/>
      <c r="D51" s="1006"/>
      <c r="E51" s="1006"/>
      <c r="F51" s="1006"/>
      <c r="G51" s="763"/>
      <c r="H51" s="763"/>
      <c r="I51" s="763"/>
      <c r="J51" s="763"/>
      <c r="K51" s="763"/>
      <c r="L51" s="763"/>
      <c r="M51" s="763"/>
    </row>
    <row r="52" spans="2:13" ht="10.5" customHeight="1"/>
    <row r="53" spans="2:13" s="762" customFormat="1" ht="30.75" customHeight="1">
      <c r="B53" s="461" t="s">
        <v>142</v>
      </c>
      <c r="C53" s="870"/>
      <c r="E53" s="905" t="s">
        <v>621</v>
      </c>
      <c r="F53" s="1319"/>
    </row>
    <row r="54" spans="2:13" s="762" customFormat="1" ht="6" customHeight="1">
      <c r="C54" s="872"/>
      <c r="E54" s="903"/>
      <c r="F54" s="906"/>
    </row>
    <row r="55" spans="2:13" s="762" customFormat="1" ht="25.5" customHeight="1">
      <c r="B55" s="902" t="s">
        <v>192</v>
      </c>
      <c r="C55" s="870"/>
      <c r="E55" s="905" t="s">
        <v>621</v>
      </c>
      <c r="F55" s="1319"/>
    </row>
    <row r="56" spans="2:13" s="762" customFormat="1" ht="8.25" customHeight="1">
      <c r="C56" s="872"/>
      <c r="E56" s="903"/>
      <c r="F56" s="906"/>
    </row>
    <row r="57" spans="2:13" s="762" customFormat="1" ht="33.75" customHeight="1">
      <c r="B57" s="462" t="s">
        <v>189</v>
      </c>
      <c r="C57" s="1110"/>
      <c r="D57" s="561"/>
      <c r="E57" s="905" t="s">
        <v>144</v>
      </c>
      <c r="F57" s="1319"/>
    </row>
    <row r="58" spans="2:13" s="762" customFormat="1" ht="6" customHeight="1">
      <c r="C58" s="872"/>
      <c r="E58" s="903"/>
      <c r="F58" s="906"/>
    </row>
    <row r="59" spans="2:13" s="762" customFormat="1" ht="28.5" customHeight="1">
      <c r="B59" s="462" t="s">
        <v>143</v>
      </c>
      <c r="C59" s="870"/>
      <c r="E59" s="905" t="s">
        <v>193</v>
      </c>
      <c r="F59" s="1319"/>
    </row>
    <row r="60" spans="2:13" s="762" customFormat="1" ht="7.5" customHeight="1">
      <c r="C60" s="872"/>
      <c r="E60" s="903"/>
      <c r="F60" s="906"/>
    </row>
    <row r="61" spans="2:13" s="762" customFormat="1" ht="45.75" customHeight="1">
      <c r="B61" s="462" t="s">
        <v>190</v>
      </c>
      <c r="C61" s="1111"/>
      <c r="E61" s="905" t="s">
        <v>622</v>
      </c>
      <c r="F61" s="1319"/>
    </row>
    <row r="62" spans="2:13" ht="10.5" customHeight="1">
      <c r="E62" s="904"/>
      <c r="F62" s="906"/>
    </row>
    <row r="63" spans="2:13" s="762" customFormat="1" ht="36.75" customHeight="1">
      <c r="B63" s="462" t="s">
        <v>191</v>
      </c>
      <c r="C63" s="1110"/>
      <c r="E63" s="905" t="s">
        <v>145</v>
      </c>
      <c r="F63" s="1319"/>
    </row>
    <row r="64" spans="2:13" ht="10.5" customHeight="1">
      <c r="E64" s="904"/>
      <c r="F64" s="763"/>
    </row>
    <row r="65" spans="2:13" s="762" customFormat="1" ht="33.75" customHeight="1">
      <c r="B65" s="907"/>
      <c r="C65" s="908"/>
      <c r="E65" s="905" t="s">
        <v>146</v>
      </c>
      <c r="F65" s="1319"/>
    </row>
    <row r="66" spans="2:13" s="762" customFormat="1" ht="5.25" customHeight="1">
      <c r="B66" s="561"/>
      <c r="C66" s="561"/>
    </row>
    <row r="67" spans="2:13" s="762" customFormat="1" ht="15">
      <c r="B67" s="1006" t="s">
        <v>141</v>
      </c>
      <c r="C67" s="1006"/>
      <c r="D67" s="1006"/>
      <c r="E67" s="1006"/>
      <c r="F67" s="1006"/>
      <c r="G67" s="763"/>
      <c r="H67" s="763"/>
      <c r="I67" s="763"/>
      <c r="J67" s="763"/>
      <c r="K67" s="763"/>
      <c r="L67" s="763"/>
      <c r="M67" s="763"/>
    </row>
    <row r="68" spans="2:13" ht="10.5" customHeight="1"/>
    <row r="69" spans="2:13" s="762" customFormat="1" ht="30.75" customHeight="1">
      <c r="B69" s="461" t="s">
        <v>142</v>
      </c>
      <c r="C69" s="870"/>
      <c r="E69" s="905" t="s">
        <v>621</v>
      </c>
      <c r="F69" s="1319"/>
    </row>
    <row r="70" spans="2:13" s="762" customFormat="1" ht="6" customHeight="1">
      <c r="C70" s="872"/>
      <c r="E70" s="903"/>
      <c r="F70" s="906"/>
    </row>
    <row r="71" spans="2:13" s="762" customFormat="1" ht="25.5" customHeight="1">
      <c r="B71" s="902" t="s">
        <v>192</v>
      </c>
      <c r="C71" s="870"/>
      <c r="E71" s="905" t="s">
        <v>621</v>
      </c>
      <c r="F71" s="1319"/>
    </row>
    <row r="72" spans="2:13" s="762" customFormat="1" ht="8.25" customHeight="1">
      <c r="C72" s="872"/>
      <c r="E72" s="903"/>
      <c r="F72" s="906"/>
    </row>
    <row r="73" spans="2:13" s="762" customFormat="1" ht="33.75" customHeight="1">
      <c r="B73" s="462" t="s">
        <v>189</v>
      </c>
      <c r="C73" s="1110"/>
      <c r="D73" s="561"/>
      <c r="E73" s="905" t="s">
        <v>144</v>
      </c>
      <c r="F73" s="1319"/>
    </row>
    <row r="74" spans="2:13" s="762" customFormat="1" ht="6" customHeight="1">
      <c r="C74" s="872"/>
      <c r="E74" s="903"/>
      <c r="F74" s="906"/>
    </row>
    <row r="75" spans="2:13" s="762" customFormat="1" ht="28.5" customHeight="1">
      <c r="B75" s="462" t="s">
        <v>143</v>
      </c>
      <c r="C75" s="870"/>
      <c r="E75" s="905" t="s">
        <v>193</v>
      </c>
      <c r="F75" s="1319"/>
    </row>
    <row r="76" spans="2:13" s="762" customFormat="1" ht="7.5" customHeight="1">
      <c r="C76" s="872"/>
      <c r="E76" s="903"/>
      <c r="F76" s="906"/>
    </row>
    <row r="77" spans="2:13" s="762" customFormat="1" ht="42.75" customHeight="1">
      <c r="B77" s="462" t="s">
        <v>190</v>
      </c>
      <c r="C77" s="1111"/>
      <c r="E77" s="905" t="s">
        <v>622</v>
      </c>
      <c r="F77" s="1319"/>
    </row>
    <row r="78" spans="2:13" ht="10.5" customHeight="1">
      <c r="E78" s="904"/>
      <c r="F78" s="906"/>
    </row>
    <row r="79" spans="2:13" s="762" customFormat="1" ht="36.75" customHeight="1">
      <c r="B79" s="462" t="s">
        <v>191</v>
      </c>
      <c r="C79" s="1110"/>
      <c r="E79" s="905" t="s">
        <v>145</v>
      </c>
      <c r="F79" s="1319"/>
    </row>
    <row r="80" spans="2:13" ht="6" customHeight="1">
      <c r="E80" s="904"/>
      <c r="F80" s="763"/>
    </row>
    <row r="81" spans="2:6" s="762" customFormat="1" ht="26.25" customHeight="1">
      <c r="B81" s="907"/>
      <c r="C81" s="908"/>
      <c r="E81" s="905" t="s">
        <v>146</v>
      </c>
      <c r="F81" s="1319"/>
    </row>
    <row r="82" spans="2:6" s="762" customFormat="1" ht="12" customHeight="1">
      <c r="B82" s="561"/>
      <c r="C82" s="561"/>
    </row>
  </sheetData>
  <sheetProtection password="92D1" sheet="1" formatCells="0" formatColumns="0"/>
  <mergeCells count="3">
    <mergeCell ref="A1:D1"/>
    <mergeCell ref="A3:E3"/>
    <mergeCell ref="E16:F16"/>
  </mergeCells>
  <phoneticPr fontId="61" type="noConversion"/>
  <conditionalFormatting sqref="E16">
    <cfRule type="cellIs" dxfId="74" priority="1" operator="equal">
      <formula>""</formula>
    </cfRule>
  </conditionalFormatting>
  <pageMargins left="0.70866141732283472" right="0.70866141732283472" top="0.74803149606299213" bottom="0.74803149606299213" header="0.31496062992125984" footer="0.31496062992125984"/>
  <pageSetup paperSize="9" scale="45" fitToHeight="0" orientation="portrait" cellComments="asDisplayed" r:id="rId1"/>
  <headerFooter>
    <oddFooter>&amp;L&amp;F&amp;C&amp;A&amp;R&amp;P of &amp;N</oddFooter>
  </headerFooter>
</worksheet>
</file>

<file path=xl/worksheets/sheet13.xml><?xml version="1.0" encoding="utf-8"?>
<worksheet xmlns="http://schemas.openxmlformats.org/spreadsheetml/2006/main" xmlns:r="http://schemas.openxmlformats.org/officeDocument/2006/relationships">
  <sheetPr enableFormatConditionsCalculation="0">
    <tabColor indexed="11"/>
    <pageSetUpPr fitToPage="1"/>
  </sheetPr>
  <dimension ref="B1:Z40"/>
  <sheetViews>
    <sheetView showGridLines="0" view="pageBreakPreview" zoomScale="55" zoomScaleNormal="70" zoomScaleSheetLayoutView="55" zoomScalePageLayoutView="55" workbookViewId="0">
      <selection activeCell="L16" sqref="L16"/>
    </sheetView>
  </sheetViews>
  <sheetFormatPr defaultRowHeight="12.75"/>
  <cols>
    <col min="1" max="1" width="2" style="72" customWidth="1"/>
    <col min="2" max="2" width="20.42578125" style="72" customWidth="1"/>
    <col min="3" max="3" width="17.5703125" style="72" hidden="1" customWidth="1"/>
    <col min="4" max="4" width="19.5703125" style="72" customWidth="1"/>
    <col min="5" max="5" width="2.28515625" style="72" customWidth="1"/>
    <col min="6" max="6" width="15.42578125" style="72" customWidth="1"/>
    <col min="7" max="7" width="21.7109375" style="72" customWidth="1"/>
    <col min="8" max="8" width="2.42578125" style="72" customWidth="1"/>
    <col min="9" max="9" width="22.140625" style="72" customWidth="1"/>
    <col min="10" max="10" width="24.7109375" style="72" bestFit="1" customWidth="1"/>
    <col min="11" max="11" width="2.5703125" style="72" customWidth="1"/>
    <col min="12" max="12" width="19.7109375" style="72" customWidth="1"/>
    <col min="13" max="13" width="19.42578125" style="72" customWidth="1"/>
    <col min="14" max="14" width="17.5703125" style="453" customWidth="1"/>
    <col min="15" max="15" width="26.28515625" style="72" hidden="1" customWidth="1"/>
    <col min="16" max="16" width="68.28515625" style="72" customWidth="1"/>
    <col min="17" max="17" width="4.140625" style="69" customWidth="1"/>
    <col min="18" max="26" width="9.140625" style="69"/>
    <col min="27" max="16384" width="9.140625" style="72"/>
  </cols>
  <sheetData>
    <row r="1" spans="2:26" ht="25.5" customHeight="1">
      <c r="B1" s="2166" t="s">
        <v>413</v>
      </c>
      <c r="C1" s="2166"/>
      <c r="D1" s="2166"/>
      <c r="E1" s="2166"/>
      <c r="F1" s="2166"/>
      <c r="G1" s="2166"/>
      <c r="H1" s="2166"/>
      <c r="I1" s="2166"/>
      <c r="J1" s="2166"/>
      <c r="K1" s="2166"/>
      <c r="L1" s="2166"/>
      <c r="M1" s="2166"/>
      <c r="N1" s="2166"/>
      <c r="O1" s="2166"/>
      <c r="P1" s="2166"/>
      <c r="Q1" s="1060"/>
      <c r="R1" s="1060"/>
      <c r="S1" s="1060"/>
      <c r="T1" s="1060"/>
      <c r="U1" s="1060"/>
      <c r="V1" s="1060"/>
      <c r="W1" s="1060"/>
      <c r="X1" s="1060"/>
      <c r="Y1" s="1060"/>
      <c r="Z1" s="1060"/>
    </row>
    <row r="2" spans="2:26" ht="14.25" customHeight="1" thickBot="1">
      <c r="B2" s="69"/>
      <c r="C2" s="69"/>
      <c r="D2" s="69"/>
      <c r="E2" s="69"/>
      <c r="F2" s="69"/>
      <c r="G2" s="69"/>
      <c r="H2" s="69"/>
      <c r="I2" s="78"/>
      <c r="J2" s="83"/>
      <c r="K2" s="69"/>
      <c r="L2" s="69"/>
      <c r="M2" s="69"/>
      <c r="N2" s="69"/>
      <c r="R2" s="1022"/>
      <c r="S2" s="1022"/>
      <c r="T2" s="1022"/>
      <c r="U2" s="1022"/>
      <c r="V2" s="1022"/>
      <c r="W2" s="1022"/>
      <c r="X2" s="1022"/>
    </row>
    <row r="3" spans="2:26" s="755" customFormat="1" ht="26.25" customHeight="1" thickBot="1">
      <c r="B3" s="1271" t="s">
        <v>469</v>
      </c>
      <c r="C3" s="1272"/>
      <c r="D3" s="1272"/>
      <c r="E3" s="1272"/>
      <c r="F3" s="1272"/>
      <c r="G3" s="1272"/>
      <c r="H3" s="1272"/>
      <c r="I3" s="1272"/>
      <c r="J3" s="1272"/>
      <c r="K3" s="1272"/>
      <c r="L3" s="1272"/>
      <c r="M3" s="1272"/>
      <c r="N3" s="1272"/>
      <c r="O3" s="1272"/>
      <c r="P3" s="1320"/>
      <c r="Q3" s="754"/>
      <c r="R3" s="754"/>
      <c r="S3" s="754"/>
      <c r="T3" s="754"/>
      <c r="U3" s="754"/>
      <c r="V3" s="754"/>
      <c r="W3" s="754"/>
      <c r="X3" s="754"/>
      <c r="Y3" s="754"/>
      <c r="Z3" s="754"/>
    </row>
    <row r="5" spans="2:26" ht="22.5" customHeight="1">
      <c r="B5" s="72" t="s">
        <v>470</v>
      </c>
      <c r="J5" s="894"/>
      <c r="L5" s="189"/>
      <c r="M5" s="31"/>
      <c r="N5" s="1059"/>
      <c r="O5" s="31"/>
      <c r="P5" s="31"/>
    </row>
    <row r="6" spans="2:26" ht="13.5" thickBot="1"/>
    <row r="7" spans="2:26" ht="15.75" thickBot="1">
      <c r="B7" s="1787" t="s">
        <v>422</v>
      </c>
      <c r="C7" s="1815"/>
      <c r="D7" s="1815"/>
      <c r="E7" s="1815"/>
      <c r="F7" s="1788"/>
      <c r="G7" s="1817" t="str">
        <f>'PR_Programmatic Progress_1A'!C7</f>
        <v>BTN-607-G03-H</v>
      </c>
      <c r="H7" s="1818"/>
      <c r="I7" s="1818"/>
      <c r="J7" s="1818"/>
      <c r="K7" s="1818"/>
      <c r="L7" s="1819"/>
      <c r="O7" s="453"/>
    </row>
    <row r="8" spans="2:26" ht="15">
      <c r="B8" s="492" t="s">
        <v>624</v>
      </c>
      <c r="C8" s="512"/>
      <c r="D8" s="512"/>
      <c r="E8" s="512"/>
      <c r="F8" s="512"/>
      <c r="G8" s="53" t="s">
        <v>630</v>
      </c>
      <c r="H8" s="2167" t="str">
        <f>'PR_Programmatic Progress_1A'!D12</f>
        <v>Quarter</v>
      </c>
      <c r="I8" s="2168"/>
      <c r="J8" s="2171" t="s">
        <v>631</v>
      </c>
      <c r="K8" s="2172"/>
      <c r="L8" s="385">
        <f>'PR_Programmatic Progress_1A'!F12</f>
        <v>16</v>
      </c>
      <c r="O8" s="453"/>
    </row>
    <row r="9" spans="2:26" ht="15">
      <c r="B9" s="513" t="s">
        <v>625</v>
      </c>
      <c r="C9" s="40"/>
      <c r="D9" s="40"/>
      <c r="E9" s="40"/>
      <c r="F9" s="40"/>
      <c r="G9" s="54" t="s">
        <v>593</v>
      </c>
      <c r="H9" s="2169">
        <f>'PR_Programmatic Progress_1A'!D13</f>
        <v>40848</v>
      </c>
      <c r="I9" s="2170"/>
      <c r="J9" s="2171" t="s">
        <v>611</v>
      </c>
      <c r="K9" s="2173"/>
      <c r="L9" s="386">
        <f>'PR_Programmatic Progress_1A'!F13</f>
        <v>40939</v>
      </c>
      <c r="O9" s="453"/>
    </row>
    <row r="10" spans="2:26" ht="15.75" thickBot="1">
      <c r="B10" s="55" t="s">
        <v>626</v>
      </c>
      <c r="C10" s="167"/>
      <c r="D10" s="167"/>
      <c r="E10" s="167"/>
      <c r="F10" s="41"/>
      <c r="G10" s="2163">
        <f>'PR_Programmatic Progress_1A'!C14</f>
        <v>16</v>
      </c>
      <c r="H10" s="2164"/>
      <c r="I10" s="2164"/>
      <c r="J10" s="2164"/>
      <c r="K10" s="2164"/>
      <c r="L10" s="2165"/>
    </row>
    <row r="11" spans="2:26" s="73" customFormat="1" ht="15" customHeight="1" thickBot="1">
      <c r="B11" s="1321" t="s">
        <v>592</v>
      </c>
      <c r="C11" s="1322"/>
      <c r="D11" s="1323"/>
      <c r="E11" s="2160" t="str">
        <f>IF('PR_Programmatic Progress_1A'!C10="Select","",'PR_Programmatic Progress_1A'!C10)</f>
        <v>USD</v>
      </c>
      <c r="F11" s="2161"/>
      <c r="G11" s="2161"/>
      <c r="H11" s="2161"/>
      <c r="I11" s="2161"/>
      <c r="J11" s="2161"/>
      <c r="K11" s="2161"/>
      <c r="L11" s="2162"/>
      <c r="M11" s="4"/>
    </row>
    <row r="12" spans="2:26">
      <c r="N12" s="566"/>
    </row>
    <row r="14" spans="2:26" s="572" customFormat="1" ht="105">
      <c r="B14" s="1324" t="s">
        <v>381</v>
      </c>
      <c r="C14" s="1325" t="s">
        <v>382</v>
      </c>
      <c r="D14" s="1326" t="s">
        <v>383</v>
      </c>
      <c r="E14" s="1327"/>
      <c r="F14" s="1311" t="s">
        <v>130</v>
      </c>
      <c r="G14" s="1326" t="s">
        <v>384</v>
      </c>
      <c r="H14" s="1328"/>
      <c r="I14" s="1311" t="s">
        <v>342</v>
      </c>
      <c r="J14" s="1326" t="s">
        <v>343</v>
      </c>
      <c r="K14" s="1327"/>
      <c r="L14" s="1311" t="s">
        <v>644</v>
      </c>
      <c r="M14" s="1326" t="s">
        <v>344</v>
      </c>
      <c r="N14" s="1326" t="s">
        <v>348</v>
      </c>
      <c r="O14" s="1329" t="s">
        <v>388</v>
      </c>
      <c r="P14" s="1311" t="s">
        <v>326</v>
      </c>
      <c r="Q14" s="1061"/>
      <c r="R14" s="1061"/>
      <c r="S14" s="1061"/>
      <c r="T14" s="1061"/>
      <c r="U14" s="1061"/>
      <c r="V14" s="1061"/>
      <c r="W14" s="1061"/>
      <c r="X14" s="1061"/>
      <c r="Y14" s="1061"/>
      <c r="Z14" s="1061"/>
    </row>
    <row r="15" spans="2:26" ht="42" customHeight="1">
      <c r="B15" s="1403" t="s">
        <v>722</v>
      </c>
      <c r="C15" s="1125">
        <v>0</v>
      </c>
      <c r="D15" s="1404" t="s">
        <v>1173</v>
      </c>
      <c r="E15" s="818"/>
      <c r="F15" s="1405">
        <v>0</v>
      </c>
      <c r="G15" s="1405">
        <v>58277.760000000002</v>
      </c>
      <c r="H15" s="819"/>
      <c r="I15" s="1405">
        <v>150074.07</v>
      </c>
      <c r="J15" s="1405">
        <v>63136.98</v>
      </c>
      <c r="K15" s="820"/>
      <c r="L15" s="1405">
        <f>225097.78</f>
        <v>225097.78</v>
      </c>
      <c r="M15" s="1062"/>
      <c r="N15" s="1406">
        <f>SUM(I15-L15)</f>
        <v>-75023.709999999992</v>
      </c>
      <c r="O15" s="881" t="s">
        <v>365</v>
      </c>
      <c r="P15" s="1330"/>
    </row>
    <row r="16" spans="2:26" ht="42" customHeight="1">
      <c r="B16" s="1403" t="s">
        <v>723</v>
      </c>
      <c r="C16" s="1126">
        <v>0</v>
      </c>
      <c r="D16" s="1404" t="s">
        <v>1173</v>
      </c>
      <c r="E16" s="821"/>
      <c r="F16" s="1405">
        <v>68800</v>
      </c>
      <c r="G16" s="1405">
        <v>64355.4</v>
      </c>
      <c r="H16" s="822"/>
      <c r="I16" s="1405">
        <v>140033</v>
      </c>
      <c r="J16" s="1405">
        <v>64355.4</v>
      </c>
      <c r="K16" s="823"/>
      <c r="L16" s="1405">
        <f>218135.01</f>
        <v>218135.01</v>
      </c>
      <c r="M16" s="1062"/>
      <c r="N16" s="1406">
        <f t="shared" ref="N16:N21" si="0">SUM(I16-L16)</f>
        <v>-78102.010000000009</v>
      </c>
      <c r="O16" s="882">
        <v>0</v>
      </c>
      <c r="P16" s="1330"/>
    </row>
    <row r="17" spans="2:16" ht="42" customHeight="1">
      <c r="B17" s="1403" t="s">
        <v>724</v>
      </c>
      <c r="C17" s="1126">
        <v>0</v>
      </c>
      <c r="D17" s="1404"/>
      <c r="E17" s="821"/>
      <c r="F17" s="1405">
        <v>0</v>
      </c>
      <c r="G17" s="1405">
        <v>0</v>
      </c>
      <c r="H17" s="822"/>
      <c r="I17" s="1405">
        <v>0</v>
      </c>
      <c r="J17" s="1405">
        <v>0</v>
      </c>
      <c r="K17" s="823"/>
      <c r="L17" s="1405">
        <f>37040.91</f>
        <v>37040.910000000003</v>
      </c>
      <c r="M17" s="1062"/>
      <c r="N17" s="1406">
        <f t="shared" si="0"/>
        <v>-37040.910000000003</v>
      </c>
      <c r="O17" s="882">
        <v>0</v>
      </c>
      <c r="P17" s="1330"/>
    </row>
    <row r="18" spans="2:16" ht="42" customHeight="1">
      <c r="B18" s="1403" t="s">
        <v>725</v>
      </c>
      <c r="C18" s="1126">
        <v>0</v>
      </c>
      <c r="D18" s="1404"/>
      <c r="E18" s="821"/>
      <c r="F18" s="1405"/>
      <c r="G18" s="1405">
        <v>0</v>
      </c>
      <c r="H18" s="822"/>
      <c r="I18" s="1405">
        <v>23970</v>
      </c>
      <c r="J18" s="1405">
        <v>0</v>
      </c>
      <c r="K18" s="823"/>
      <c r="L18" s="1405">
        <f>78440.98</f>
        <v>78440.98</v>
      </c>
      <c r="M18" s="1062"/>
      <c r="N18" s="1406">
        <f t="shared" si="0"/>
        <v>-54470.979999999996</v>
      </c>
      <c r="O18" s="882">
        <v>0</v>
      </c>
      <c r="P18" s="1330"/>
    </row>
    <row r="19" spans="2:16" ht="42" customHeight="1">
      <c r="B19" s="1405" t="s">
        <v>726</v>
      </c>
      <c r="C19" s="1126">
        <v>0</v>
      </c>
      <c r="D19" s="1404"/>
      <c r="E19" s="821"/>
      <c r="F19" s="1405"/>
      <c r="G19" s="1405">
        <v>4408.1899999999996</v>
      </c>
      <c r="H19" s="822"/>
      <c r="I19" s="1405">
        <v>31745</v>
      </c>
      <c r="J19" s="1405">
        <v>7421.45</v>
      </c>
      <c r="K19" s="823"/>
      <c r="L19" s="1405">
        <v>85801.71</v>
      </c>
      <c r="M19" s="1062"/>
      <c r="N19" s="1406">
        <f t="shared" si="0"/>
        <v>-54056.710000000006</v>
      </c>
      <c r="O19" s="882">
        <v>0</v>
      </c>
      <c r="P19" s="1330"/>
    </row>
    <row r="20" spans="2:16" ht="42" customHeight="1">
      <c r="B20" s="1405" t="s">
        <v>727</v>
      </c>
      <c r="C20" s="1126">
        <v>0</v>
      </c>
      <c r="D20" s="1404"/>
      <c r="E20" s="821"/>
      <c r="F20" s="1405"/>
      <c r="G20" s="1405">
        <v>7764.97</v>
      </c>
      <c r="H20" s="822"/>
      <c r="I20" s="1405">
        <v>9485</v>
      </c>
      <c r="J20" s="1405">
        <v>9475.8799999999992</v>
      </c>
      <c r="K20" s="823"/>
      <c r="L20" s="1405">
        <f>58142.86</f>
        <v>58142.86</v>
      </c>
      <c r="M20" s="1062"/>
      <c r="N20" s="1406">
        <f t="shared" si="0"/>
        <v>-48657.86</v>
      </c>
      <c r="O20" s="882">
        <v>0</v>
      </c>
      <c r="P20" s="1330"/>
    </row>
    <row r="21" spans="2:16" ht="42" customHeight="1">
      <c r="B21" s="1403" t="s">
        <v>728</v>
      </c>
      <c r="C21" s="1126">
        <v>0</v>
      </c>
      <c r="D21" s="1404"/>
      <c r="E21" s="821"/>
      <c r="F21" s="1405">
        <v>0</v>
      </c>
      <c r="G21" s="1405">
        <v>0</v>
      </c>
      <c r="H21" s="822"/>
      <c r="I21" s="1405">
        <v>0</v>
      </c>
      <c r="J21" s="1405">
        <v>0</v>
      </c>
      <c r="K21" s="823"/>
      <c r="L21" s="1405">
        <v>0</v>
      </c>
      <c r="M21" s="1062"/>
      <c r="N21" s="1406">
        <f t="shared" si="0"/>
        <v>0</v>
      </c>
      <c r="O21" s="882">
        <v>0</v>
      </c>
      <c r="P21" s="1330"/>
    </row>
    <row r="22" spans="2:16" ht="42" customHeight="1">
      <c r="B22" s="879"/>
      <c r="C22" s="1126">
        <v>0</v>
      </c>
      <c r="D22" s="884"/>
      <c r="E22" s="821"/>
      <c r="F22" s="879">
        <v>0</v>
      </c>
      <c r="G22" s="879">
        <v>0</v>
      </c>
      <c r="H22" s="822"/>
      <c r="I22" s="879">
        <v>0</v>
      </c>
      <c r="J22" s="879">
        <v>0</v>
      </c>
      <c r="K22" s="823"/>
      <c r="L22" s="879">
        <v>0</v>
      </c>
      <c r="M22" s="1062"/>
      <c r="N22" s="1124">
        <f t="shared" ref="N22:N34" si="1">SUM(I22-L22)</f>
        <v>0</v>
      </c>
      <c r="O22" s="882">
        <v>0</v>
      </c>
      <c r="P22" s="1330"/>
    </row>
    <row r="23" spans="2:16" ht="42" customHeight="1">
      <c r="B23" s="879"/>
      <c r="C23" s="1126">
        <v>0</v>
      </c>
      <c r="D23" s="884"/>
      <c r="E23" s="821"/>
      <c r="F23" s="879">
        <v>0</v>
      </c>
      <c r="G23" s="879">
        <v>0</v>
      </c>
      <c r="H23" s="822"/>
      <c r="I23" s="879">
        <v>0</v>
      </c>
      <c r="J23" s="879">
        <v>0</v>
      </c>
      <c r="K23" s="823"/>
      <c r="L23" s="879">
        <v>0</v>
      </c>
      <c r="M23" s="1062"/>
      <c r="N23" s="1124">
        <f>SUM(I23-L23)</f>
        <v>0</v>
      </c>
      <c r="O23" s="882">
        <v>0</v>
      </c>
      <c r="P23" s="1330"/>
    </row>
    <row r="24" spans="2:16" ht="42" customHeight="1">
      <c r="B24" s="879"/>
      <c r="C24" s="1126">
        <v>0</v>
      </c>
      <c r="D24" s="884"/>
      <c r="E24" s="824"/>
      <c r="F24" s="879">
        <v>0</v>
      </c>
      <c r="G24" s="879">
        <v>0</v>
      </c>
      <c r="H24" s="825"/>
      <c r="I24" s="879">
        <v>0</v>
      </c>
      <c r="J24" s="879">
        <v>0</v>
      </c>
      <c r="K24" s="826"/>
      <c r="L24" s="879">
        <v>0</v>
      </c>
      <c r="M24" s="1062"/>
      <c r="N24" s="1124">
        <f t="shared" si="1"/>
        <v>0</v>
      </c>
      <c r="O24" s="882">
        <v>0</v>
      </c>
      <c r="P24" s="1330"/>
    </row>
    <row r="25" spans="2:16" ht="42" customHeight="1">
      <c r="B25" s="879"/>
      <c r="C25" s="1126">
        <v>0</v>
      </c>
      <c r="D25" s="884"/>
      <c r="E25" s="824"/>
      <c r="F25" s="879">
        <v>0</v>
      </c>
      <c r="G25" s="879">
        <v>0</v>
      </c>
      <c r="H25" s="825"/>
      <c r="I25" s="879">
        <v>0</v>
      </c>
      <c r="J25" s="879">
        <v>0</v>
      </c>
      <c r="K25" s="826"/>
      <c r="L25" s="879">
        <v>0</v>
      </c>
      <c r="M25" s="1062"/>
      <c r="N25" s="1124">
        <f t="shared" si="1"/>
        <v>0</v>
      </c>
      <c r="O25" s="882">
        <v>0</v>
      </c>
      <c r="P25" s="1330"/>
    </row>
    <row r="26" spans="2:16" ht="42" customHeight="1">
      <c r="B26" s="879"/>
      <c r="C26" s="1126">
        <v>0</v>
      </c>
      <c r="D26" s="884"/>
      <c r="E26" s="824"/>
      <c r="F26" s="879">
        <v>0</v>
      </c>
      <c r="G26" s="879">
        <v>0</v>
      </c>
      <c r="H26" s="825"/>
      <c r="I26" s="879">
        <v>0</v>
      </c>
      <c r="J26" s="879">
        <v>0</v>
      </c>
      <c r="K26" s="826"/>
      <c r="L26" s="879">
        <v>0</v>
      </c>
      <c r="M26" s="1062"/>
      <c r="N26" s="1124">
        <f t="shared" si="1"/>
        <v>0</v>
      </c>
      <c r="O26" s="882">
        <v>0</v>
      </c>
      <c r="P26" s="1330"/>
    </row>
    <row r="27" spans="2:16" ht="42" customHeight="1">
      <c r="B27" s="879"/>
      <c r="C27" s="1126">
        <v>0</v>
      </c>
      <c r="D27" s="884"/>
      <c r="E27" s="824"/>
      <c r="F27" s="879">
        <v>0</v>
      </c>
      <c r="G27" s="879">
        <v>0</v>
      </c>
      <c r="H27" s="825"/>
      <c r="I27" s="879">
        <v>0</v>
      </c>
      <c r="J27" s="879">
        <v>0</v>
      </c>
      <c r="K27" s="826"/>
      <c r="L27" s="879">
        <v>0</v>
      </c>
      <c r="M27" s="1062"/>
      <c r="N27" s="1124">
        <f t="shared" si="1"/>
        <v>0</v>
      </c>
      <c r="O27" s="882">
        <v>0</v>
      </c>
      <c r="P27" s="1330"/>
    </row>
    <row r="28" spans="2:16" ht="42" customHeight="1">
      <c r="B28" s="879"/>
      <c r="C28" s="1126">
        <v>0</v>
      </c>
      <c r="D28" s="884"/>
      <c r="E28" s="824"/>
      <c r="F28" s="879">
        <v>0</v>
      </c>
      <c r="G28" s="879">
        <v>0</v>
      </c>
      <c r="H28" s="825"/>
      <c r="I28" s="879">
        <v>0</v>
      </c>
      <c r="J28" s="879">
        <v>0</v>
      </c>
      <c r="K28" s="826"/>
      <c r="L28" s="879">
        <v>0</v>
      </c>
      <c r="M28" s="1062"/>
      <c r="N28" s="1124">
        <f t="shared" si="1"/>
        <v>0</v>
      </c>
      <c r="O28" s="882">
        <v>0</v>
      </c>
      <c r="P28" s="1330"/>
    </row>
    <row r="29" spans="2:16" ht="42" customHeight="1">
      <c r="B29" s="879"/>
      <c r="C29" s="1126">
        <v>0</v>
      </c>
      <c r="D29" s="884"/>
      <c r="E29" s="824"/>
      <c r="F29" s="879">
        <v>0</v>
      </c>
      <c r="G29" s="879">
        <v>0</v>
      </c>
      <c r="H29" s="825"/>
      <c r="I29" s="879">
        <v>0</v>
      </c>
      <c r="J29" s="879">
        <v>0</v>
      </c>
      <c r="K29" s="826"/>
      <c r="L29" s="879">
        <v>0</v>
      </c>
      <c r="M29" s="1062"/>
      <c r="N29" s="1124">
        <f t="shared" si="1"/>
        <v>0</v>
      </c>
      <c r="O29" s="882">
        <v>0</v>
      </c>
      <c r="P29" s="1330"/>
    </row>
    <row r="30" spans="2:16" ht="42" customHeight="1">
      <c r="B30" s="879"/>
      <c r="C30" s="1126">
        <v>0</v>
      </c>
      <c r="D30" s="884"/>
      <c r="E30" s="824"/>
      <c r="F30" s="879">
        <v>0</v>
      </c>
      <c r="G30" s="879">
        <v>0</v>
      </c>
      <c r="H30" s="825"/>
      <c r="I30" s="879">
        <v>0</v>
      </c>
      <c r="J30" s="879">
        <v>0</v>
      </c>
      <c r="K30" s="826"/>
      <c r="L30" s="879">
        <v>0</v>
      </c>
      <c r="M30" s="1062"/>
      <c r="N30" s="1124">
        <f t="shared" si="1"/>
        <v>0</v>
      </c>
      <c r="O30" s="882">
        <v>0</v>
      </c>
      <c r="P30" s="1330"/>
    </row>
    <row r="31" spans="2:16" ht="42" customHeight="1">
      <c r="B31" s="879"/>
      <c r="C31" s="1126">
        <v>0</v>
      </c>
      <c r="D31" s="884"/>
      <c r="E31" s="824"/>
      <c r="F31" s="879">
        <v>0</v>
      </c>
      <c r="G31" s="879">
        <v>0</v>
      </c>
      <c r="H31" s="825"/>
      <c r="I31" s="879">
        <v>0</v>
      </c>
      <c r="J31" s="879">
        <v>0</v>
      </c>
      <c r="K31" s="826"/>
      <c r="L31" s="879">
        <v>0</v>
      </c>
      <c r="M31" s="1062"/>
      <c r="N31" s="1124">
        <f t="shared" si="1"/>
        <v>0</v>
      </c>
      <c r="O31" s="882">
        <v>0</v>
      </c>
      <c r="P31" s="1330"/>
    </row>
    <row r="32" spans="2:16" ht="42" customHeight="1">
      <c r="B32" s="879"/>
      <c r="C32" s="1126">
        <v>0</v>
      </c>
      <c r="D32" s="884"/>
      <c r="E32" s="824"/>
      <c r="F32" s="879">
        <v>0</v>
      </c>
      <c r="G32" s="879">
        <v>0</v>
      </c>
      <c r="H32" s="825"/>
      <c r="I32" s="879">
        <v>0</v>
      </c>
      <c r="J32" s="879">
        <v>0</v>
      </c>
      <c r="K32" s="826"/>
      <c r="L32" s="879">
        <v>0</v>
      </c>
      <c r="M32" s="1062"/>
      <c r="N32" s="1124">
        <f t="shared" si="1"/>
        <v>0</v>
      </c>
      <c r="O32" s="882">
        <v>0</v>
      </c>
      <c r="P32" s="1330"/>
    </row>
    <row r="33" spans="2:16" ht="42" customHeight="1">
      <c r="B33" s="879"/>
      <c r="C33" s="1126">
        <v>0</v>
      </c>
      <c r="D33" s="884"/>
      <c r="E33" s="824"/>
      <c r="F33" s="879">
        <v>0</v>
      </c>
      <c r="G33" s="879">
        <v>0</v>
      </c>
      <c r="H33" s="825"/>
      <c r="I33" s="879">
        <v>0</v>
      </c>
      <c r="J33" s="879">
        <v>0</v>
      </c>
      <c r="K33" s="826"/>
      <c r="L33" s="879">
        <v>0</v>
      </c>
      <c r="M33" s="1062"/>
      <c r="N33" s="1124">
        <f t="shared" si="1"/>
        <v>0</v>
      </c>
      <c r="O33" s="882">
        <v>0</v>
      </c>
      <c r="P33" s="1330"/>
    </row>
    <row r="34" spans="2:16" ht="42.75" customHeight="1">
      <c r="B34" s="879"/>
      <c r="C34" s="1126">
        <v>0</v>
      </c>
      <c r="D34" s="884"/>
      <c r="E34" s="821"/>
      <c r="F34" s="879">
        <v>0</v>
      </c>
      <c r="G34" s="879">
        <v>0</v>
      </c>
      <c r="H34" s="822"/>
      <c r="I34" s="879">
        <v>0</v>
      </c>
      <c r="J34" s="879">
        <v>0</v>
      </c>
      <c r="K34" s="823"/>
      <c r="L34" s="879">
        <v>0</v>
      </c>
      <c r="M34" s="1062"/>
      <c r="N34" s="1124">
        <f t="shared" si="1"/>
        <v>0</v>
      </c>
      <c r="O34" s="882">
        <v>0</v>
      </c>
      <c r="P34" s="1330"/>
    </row>
    <row r="35" spans="2:16" ht="14.25">
      <c r="B35" s="88"/>
      <c r="C35" s="827"/>
      <c r="D35" s="88" t="s">
        <v>183</v>
      </c>
      <c r="E35" s="92"/>
      <c r="F35" s="88"/>
      <c r="G35" s="88"/>
      <c r="H35" s="75"/>
      <c r="I35" s="88"/>
      <c r="J35" s="88"/>
      <c r="K35" s="92"/>
      <c r="L35" s="88"/>
      <c r="M35" s="88" t="s">
        <v>183</v>
      </c>
      <c r="N35" s="88"/>
      <c r="O35" s="828"/>
      <c r="P35" s="88"/>
    </row>
    <row r="36" spans="2:16" ht="22.5" customHeight="1">
      <c r="B36" s="88" t="s">
        <v>389</v>
      </c>
      <c r="C36" s="827"/>
      <c r="D36" s="88"/>
      <c r="E36" s="92"/>
      <c r="F36" s="829">
        <f>SUM(F15:F34)</f>
        <v>68800</v>
      </c>
      <c r="G36" s="829">
        <f>SUM(G15:G34)</f>
        <v>134806.32</v>
      </c>
      <c r="H36" s="807"/>
      <c r="I36" s="829">
        <f>SUM(I15:I34)</f>
        <v>355307.07</v>
      </c>
      <c r="J36" s="829">
        <f>SUM(J15:J34)</f>
        <v>144389.71000000002</v>
      </c>
      <c r="K36" s="830"/>
      <c r="L36" s="829">
        <f>SUM(L15:L34)</f>
        <v>702659.25</v>
      </c>
      <c r="M36" s="831"/>
      <c r="N36" s="829">
        <f>SUM(N15:N34)</f>
        <v>-347352.18</v>
      </c>
      <c r="O36" s="828"/>
      <c r="P36" s="575"/>
    </row>
    <row r="37" spans="2:16" ht="14.25">
      <c r="B37" s="75"/>
      <c r="C37" s="75"/>
      <c r="D37" s="75"/>
      <c r="E37" s="75"/>
      <c r="F37" s="75"/>
      <c r="G37" s="75"/>
      <c r="H37" s="75"/>
      <c r="I37" s="75"/>
      <c r="J37" s="75"/>
      <c r="K37" s="75"/>
      <c r="L37" s="75"/>
      <c r="M37" s="75"/>
      <c r="N37" s="576"/>
      <c r="O37" s="75"/>
      <c r="P37" s="75"/>
    </row>
    <row r="38" spans="2:16" ht="14.25">
      <c r="B38" s="75" t="s">
        <v>172</v>
      </c>
      <c r="C38" s="75"/>
      <c r="D38" s="75"/>
      <c r="E38" s="75"/>
      <c r="F38" s="75"/>
      <c r="G38" s="75"/>
      <c r="H38" s="75"/>
      <c r="I38" s="75"/>
      <c r="J38" s="75"/>
      <c r="K38" s="75"/>
      <c r="L38" s="75"/>
      <c r="M38" s="75"/>
      <c r="N38" s="576"/>
      <c r="O38" s="75"/>
      <c r="P38" s="75"/>
    </row>
    <row r="39" spans="2:16" ht="14.25">
      <c r="B39" s="75" t="s">
        <v>173</v>
      </c>
      <c r="C39" s="75"/>
      <c r="D39" s="75"/>
      <c r="E39" s="75"/>
      <c r="F39" s="75"/>
      <c r="G39" s="75"/>
      <c r="H39" s="75"/>
      <c r="I39" s="75"/>
      <c r="J39" s="75"/>
      <c r="K39" s="75"/>
      <c r="L39" s="75"/>
      <c r="M39" s="75"/>
      <c r="N39" s="576"/>
      <c r="O39" s="75"/>
      <c r="P39" s="75"/>
    </row>
    <row r="40" spans="2:16" ht="14.25">
      <c r="C40" s="75"/>
      <c r="D40" s="75"/>
      <c r="E40" s="75"/>
      <c r="F40" s="75"/>
      <c r="G40" s="75"/>
      <c r="H40" s="75"/>
      <c r="I40" s="75"/>
      <c r="J40" s="75"/>
      <c r="K40" s="75"/>
      <c r="L40" s="75"/>
      <c r="M40" s="75"/>
      <c r="N40" s="576"/>
      <c r="O40" s="75"/>
      <c r="P40" s="75"/>
    </row>
  </sheetData>
  <sheetProtection formatCells="0" formatColumns="0" formatRows="0" sort="0"/>
  <mergeCells count="9">
    <mergeCell ref="E11:L11"/>
    <mergeCell ref="G10:L10"/>
    <mergeCell ref="B1:P1"/>
    <mergeCell ref="H8:I8"/>
    <mergeCell ref="H9:I9"/>
    <mergeCell ref="J8:K8"/>
    <mergeCell ref="J9:K9"/>
    <mergeCell ref="B7:F7"/>
    <mergeCell ref="G7:L7"/>
  </mergeCells>
  <phoneticPr fontId="37" type="noConversion"/>
  <dataValidations count="1">
    <dataValidation type="list" allowBlank="1" showInputMessage="1" showErrorMessage="1" sqref="J5">
      <formula1>"Yes, No"</formula1>
    </dataValidation>
  </dataValidations>
  <printOptions horizontalCentered="1"/>
  <pageMargins left="0.74803149606299213" right="0.74803149606299213" top="0.59055118110236227" bottom="0.59055118110236227" header="0.51181102362204722" footer="0.51181102362204722"/>
  <pageSetup paperSize="9" scale="50" fitToHeight="0" orientation="landscape" cellComments="asDisplayed" r:id="rId1"/>
  <headerFooter alignWithMargins="0">
    <oddFooter>&amp;L&amp;9&amp;F&amp;C&amp;A&amp;R&amp;9Page &amp;P of &amp;N</oddFooter>
  </headerFooter>
</worksheet>
</file>

<file path=xl/worksheets/sheet14.xml><?xml version="1.0" encoding="utf-8"?>
<worksheet xmlns="http://schemas.openxmlformats.org/spreadsheetml/2006/main" xmlns:r="http://schemas.openxmlformats.org/officeDocument/2006/relationships">
  <sheetPr enableFormatConditionsCalculation="0">
    <tabColor rgb="FFFFFF00"/>
    <pageSetUpPr fitToPage="1"/>
  </sheetPr>
  <dimension ref="A1:N50"/>
  <sheetViews>
    <sheetView view="pageBreakPreview" zoomScaleNormal="80" zoomScaleSheetLayoutView="100" workbookViewId="0">
      <selection activeCell="F28" sqref="F28"/>
    </sheetView>
  </sheetViews>
  <sheetFormatPr defaultRowHeight="15"/>
  <cols>
    <col min="1" max="1" width="29.7109375" style="579" customWidth="1"/>
    <col min="2" max="2" width="21.28515625" style="579" customWidth="1"/>
    <col min="3" max="3" width="22.7109375" style="579" customWidth="1"/>
    <col min="4" max="4" width="26.140625" style="579" customWidth="1"/>
    <col min="5" max="5" width="1" style="578" customWidth="1"/>
    <col min="6" max="6" width="50.85546875" style="578" customWidth="1"/>
    <col min="7" max="14" width="9.140625" style="578"/>
    <col min="15" max="16384" width="9.140625" style="579"/>
  </cols>
  <sheetData>
    <row r="1" spans="1:6" ht="15.75">
      <c r="A1" s="577" t="s">
        <v>501</v>
      </c>
      <c r="B1" s="578"/>
      <c r="C1" s="578"/>
      <c r="D1" s="578"/>
    </row>
    <row r="2" spans="1:6" ht="5.25" customHeight="1">
      <c r="A2" s="577"/>
      <c r="B2" s="578"/>
      <c r="C2" s="578"/>
      <c r="D2" s="578"/>
    </row>
    <row r="3" spans="1:6">
      <c r="A3" s="580" t="s">
        <v>90</v>
      </c>
      <c r="B3" s="578"/>
      <c r="C3" s="578"/>
      <c r="D3" s="578"/>
    </row>
    <row r="4" spans="1:6" ht="9.75" customHeight="1" thickBot="1">
      <c r="A4" s="578"/>
      <c r="B4" s="578"/>
      <c r="C4" s="578"/>
      <c r="D4" s="578"/>
    </row>
    <row r="5" spans="1:6" ht="35.25" customHeight="1" thickBot="1">
      <c r="A5" s="581" t="s">
        <v>61</v>
      </c>
      <c r="B5" s="582" t="s">
        <v>62</v>
      </c>
      <c r="C5" s="581" t="s">
        <v>63</v>
      </c>
      <c r="D5" s="581" t="s">
        <v>572</v>
      </c>
    </row>
    <row r="6" spans="1:6">
      <c r="A6" s="2174" t="s">
        <v>94</v>
      </c>
      <c r="B6" s="2175"/>
      <c r="C6" s="2175"/>
      <c r="D6" s="2176"/>
    </row>
    <row r="7" spans="1:6">
      <c r="A7" s="583" t="s">
        <v>64</v>
      </c>
      <c r="B7" s="584" t="s">
        <v>65</v>
      </c>
      <c r="C7" s="585"/>
      <c r="D7" s="586"/>
    </row>
    <row r="8" spans="1:6">
      <c r="A8" s="583" t="s">
        <v>66</v>
      </c>
      <c r="B8" s="584" t="s">
        <v>65</v>
      </c>
      <c r="C8" s="585"/>
      <c r="D8" s="586"/>
    </row>
    <row r="9" spans="1:6" ht="26.25">
      <c r="A9" s="583" t="s">
        <v>67</v>
      </c>
      <c r="B9" s="584" t="s">
        <v>65</v>
      </c>
      <c r="C9" s="585"/>
      <c r="D9" s="586" t="s">
        <v>68</v>
      </c>
      <c r="F9" s="587"/>
    </row>
    <row r="10" spans="1:6" ht="26.25">
      <c r="A10" s="583" t="s">
        <v>289</v>
      </c>
      <c r="B10" s="584" t="s">
        <v>65</v>
      </c>
      <c r="C10" s="585"/>
      <c r="D10" s="586" t="s">
        <v>69</v>
      </c>
    </row>
    <row r="11" spans="1:6" ht="39">
      <c r="A11" s="583" t="s">
        <v>70</v>
      </c>
      <c r="B11" s="584" t="s">
        <v>65</v>
      </c>
      <c r="C11" s="585"/>
      <c r="D11" s="586" t="s">
        <v>69</v>
      </c>
    </row>
    <row r="12" spans="1:6">
      <c r="A12" s="588"/>
      <c r="B12" s="584"/>
      <c r="C12" s="585"/>
      <c r="D12" s="589"/>
    </row>
    <row r="13" spans="1:6">
      <c r="A13" s="2177" t="s">
        <v>71</v>
      </c>
      <c r="B13" s="2178"/>
      <c r="C13" s="2178"/>
      <c r="D13" s="2179"/>
    </row>
    <row r="14" spans="1:6" ht="39">
      <c r="A14" s="583" t="s">
        <v>72</v>
      </c>
      <c r="B14" s="584" t="s">
        <v>65</v>
      </c>
      <c r="C14" s="585"/>
      <c r="D14" s="586"/>
    </row>
    <row r="15" spans="1:6">
      <c r="A15" s="583" t="s">
        <v>73</v>
      </c>
      <c r="B15" s="584" t="s">
        <v>65</v>
      </c>
      <c r="C15" s="585"/>
      <c r="D15" s="586"/>
    </row>
    <row r="16" spans="1:6">
      <c r="A16" s="583" t="s">
        <v>74</v>
      </c>
      <c r="B16" s="584" t="s">
        <v>65</v>
      </c>
      <c r="C16" s="585"/>
      <c r="D16" s="586"/>
    </row>
    <row r="17" spans="1:4">
      <c r="A17" s="583" t="s">
        <v>75</v>
      </c>
      <c r="B17" s="584" t="s">
        <v>65</v>
      </c>
      <c r="C17" s="585"/>
      <c r="D17" s="586"/>
    </row>
    <row r="18" spans="1:4">
      <c r="A18" s="583"/>
      <c r="B18" s="585"/>
      <c r="C18" s="585"/>
      <c r="D18" s="586"/>
    </row>
    <row r="19" spans="1:4">
      <c r="A19" s="2177" t="s">
        <v>76</v>
      </c>
      <c r="B19" s="2178"/>
      <c r="C19" s="2178"/>
      <c r="D19" s="2179"/>
    </row>
    <row r="20" spans="1:4" ht="51.75">
      <c r="A20" s="583" t="s">
        <v>77</v>
      </c>
      <c r="B20" s="584" t="s">
        <v>65</v>
      </c>
      <c r="C20" s="585"/>
      <c r="D20" s="586" t="s">
        <v>78</v>
      </c>
    </row>
    <row r="21" spans="1:4" ht="26.25">
      <c r="A21" s="583" t="s">
        <v>79</v>
      </c>
      <c r="B21" s="584" t="s">
        <v>65</v>
      </c>
      <c r="C21" s="584" t="s">
        <v>65</v>
      </c>
      <c r="D21" s="910" t="s">
        <v>345</v>
      </c>
    </row>
    <row r="22" spans="1:4">
      <c r="A22" s="583" t="s">
        <v>80</v>
      </c>
      <c r="B22" s="584" t="s">
        <v>65</v>
      </c>
      <c r="C22" s="585"/>
      <c r="D22" s="586"/>
    </row>
    <row r="23" spans="1:4">
      <c r="A23" s="583" t="s">
        <v>81</v>
      </c>
      <c r="B23" s="584" t="s">
        <v>65</v>
      </c>
      <c r="C23" s="585"/>
      <c r="D23" s="586"/>
    </row>
    <row r="24" spans="1:4">
      <c r="A24" s="583" t="s">
        <v>82</v>
      </c>
      <c r="B24" s="584" t="s">
        <v>65</v>
      </c>
      <c r="C24" s="585"/>
      <c r="D24" s="586"/>
    </row>
    <row r="25" spans="1:4">
      <c r="A25" s="583" t="s">
        <v>83</v>
      </c>
      <c r="B25" s="584" t="s">
        <v>65</v>
      </c>
      <c r="C25" s="585"/>
      <c r="D25" s="586"/>
    </row>
    <row r="26" spans="1:4">
      <c r="A26" s="583" t="s">
        <v>84</v>
      </c>
      <c r="B26" s="584" t="s">
        <v>65</v>
      </c>
      <c r="C26" s="585"/>
      <c r="D26" s="586"/>
    </row>
    <row r="27" spans="1:4" ht="39">
      <c r="A27" s="583" t="s">
        <v>85</v>
      </c>
      <c r="B27" s="584" t="s">
        <v>65</v>
      </c>
      <c r="C27" s="584" t="s">
        <v>65</v>
      </c>
      <c r="D27" s="586"/>
    </row>
    <row r="28" spans="1:4" ht="39">
      <c r="A28" s="583" t="s">
        <v>86</v>
      </c>
      <c r="B28" s="584" t="s">
        <v>65</v>
      </c>
      <c r="C28" s="584"/>
      <c r="D28" s="586"/>
    </row>
    <row r="29" spans="1:4">
      <c r="A29" s="2177" t="s">
        <v>87</v>
      </c>
      <c r="B29" s="2178"/>
      <c r="C29" s="2178"/>
      <c r="D29" s="2179"/>
    </row>
    <row r="30" spans="1:4" ht="39">
      <c r="A30" s="583" t="s">
        <v>88</v>
      </c>
      <c r="B30" s="590" t="s">
        <v>65</v>
      </c>
      <c r="C30" s="590"/>
      <c r="D30" s="591"/>
    </row>
    <row r="31" spans="1:4">
      <c r="A31" s="583" t="s">
        <v>89</v>
      </c>
      <c r="B31" s="584" t="s">
        <v>65</v>
      </c>
      <c r="C31" s="590"/>
      <c r="D31" s="591"/>
    </row>
    <row r="32" spans="1:4" ht="15.75" thickBot="1">
      <c r="A32" s="592"/>
      <c r="B32" s="593"/>
      <c r="C32" s="593"/>
      <c r="D32" s="594"/>
    </row>
    <row r="33" spans="1:4" ht="5.25" customHeight="1">
      <c r="A33" s="595"/>
      <c r="B33" s="595"/>
      <c r="C33" s="595"/>
      <c r="D33" s="595"/>
    </row>
    <row r="34" spans="1:4">
      <c r="A34" s="595"/>
      <c r="B34" s="595"/>
      <c r="C34" s="595"/>
      <c r="D34" s="595"/>
    </row>
    <row r="35" spans="1:4">
      <c r="A35" s="595"/>
      <c r="B35" s="595"/>
      <c r="C35" s="595"/>
      <c r="D35" s="595"/>
    </row>
    <row r="36" spans="1:4">
      <c r="A36" s="595"/>
      <c r="B36" s="595"/>
      <c r="C36" s="595"/>
      <c r="D36" s="595"/>
    </row>
    <row r="37" spans="1:4">
      <c r="A37" s="595"/>
      <c r="B37" s="595"/>
      <c r="C37" s="595"/>
      <c r="D37" s="595"/>
    </row>
    <row r="38" spans="1:4">
      <c r="A38" s="595"/>
      <c r="B38" s="595"/>
      <c r="C38" s="595"/>
      <c r="D38" s="595"/>
    </row>
    <row r="39" spans="1:4">
      <c r="A39" s="595"/>
      <c r="B39" s="595"/>
      <c r="C39" s="595"/>
      <c r="D39" s="595"/>
    </row>
    <row r="40" spans="1:4">
      <c r="A40" s="595"/>
      <c r="B40" s="595"/>
      <c r="C40" s="595"/>
      <c r="D40" s="595"/>
    </row>
    <row r="41" spans="1:4">
      <c r="A41" s="595"/>
      <c r="B41" s="595"/>
      <c r="C41" s="595"/>
      <c r="D41" s="595"/>
    </row>
    <row r="42" spans="1:4">
      <c r="A42" s="596"/>
      <c r="B42" s="596"/>
      <c r="C42" s="596"/>
      <c r="D42" s="596"/>
    </row>
    <row r="43" spans="1:4">
      <c r="A43" s="596"/>
      <c r="B43" s="596"/>
      <c r="C43" s="596"/>
      <c r="D43" s="596"/>
    </row>
    <row r="44" spans="1:4">
      <c r="A44" s="596"/>
      <c r="B44" s="596"/>
      <c r="C44" s="596"/>
      <c r="D44" s="596"/>
    </row>
    <row r="45" spans="1:4">
      <c r="A45" s="596"/>
      <c r="B45" s="596"/>
      <c r="C45" s="596"/>
      <c r="D45" s="596"/>
    </row>
    <row r="46" spans="1:4">
      <c r="A46" s="596"/>
      <c r="B46" s="596"/>
      <c r="C46" s="596"/>
      <c r="D46" s="596"/>
    </row>
    <row r="47" spans="1:4">
      <c r="A47" s="596"/>
      <c r="B47" s="596"/>
      <c r="C47" s="596"/>
      <c r="D47" s="596"/>
    </row>
    <row r="48" spans="1:4">
      <c r="A48" s="596"/>
      <c r="B48" s="596"/>
      <c r="C48" s="596"/>
      <c r="D48" s="596"/>
    </row>
    <row r="49" spans="1:4">
      <c r="A49" s="596"/>
      <c r="B49" s="596"/>
      <c r="C49" s="596"/>
      <c r="D49" s="596"/>
    </row>
    <row r="50" spans="1:4">
      <c r="A50" s="596"/>
      <c r="B50" s="596"/>
      <c r="C50" s="596"/>
      <c r="D50" s="596"/>
    </row>
  </sheetData>
  <sheetProtection password="92D1" sheet="1" selectLockedCells="1"/>
  <mergeCells count="4">
    <mergeCell ref="A6:D6"/>
    <mergeCell ref="A13:D13"/>
    <mergeCell ref="A19:D19"/>
    <mergeCell ref="A29:D29"/>
  </mergeCells>
  <phoneticPr fontId="37" type="noConversion"/>
  <printOptions horizontalCentered="1"/>
  <pageMargins left="0.74803149606299213" right="0.74803149606299213" top="0.59055118110236227" bottom="0.59055118110236227" header="0.51181102362204722" footer="0.51181102362204722"/>
  <pageSetup paperSize="9" scale="87" fitToHeight="0" orientation="portrait" cellComments="asDisplayed" r:id="rId1"/>
  <headerFooter alignWithMargins="0">
    <oddFooter>&amp;L&amp;9&amp;F&amp;C&amp;A&amp;R&amp;9Page &amp;P of &amp;N</oddFooter>
  </headerFooter>
</worksheet>
</file>

<file path=xl/worksheets/sheet15.xml><?xml version="1.0" encoding="utf-8"?>
<worksheet xmlns="http://schemas.openxmlformats.org/spreadsheetml/2006/main" xmlns:r="http://schemas.openxmlformats.org/officeDocument/2006/relationships">
  <sheetPr enableFormatConditionsCalculation="0">
    <tabColor indexed="40"/>
  </sheetPr>
  <dimension ref="A1:AF37"/>
  <sheetViews>
    <sheetView view="pageBreakPreview" topLeftCell="A14" zoomScale="70" zoomScaleNormal="40" zoomScaleSheetLayoutView="70" workbookViewId="0">
      <selection activeCell="N27" sqref="N27:R27"/>
    </sheetView>
  </sheetViews>
  <sheetFormatPr defaultRowHeight="12.75"/>
  <cols>
    <col min="1" max="1" width="14.5703125" style="63" customWidth="1"/>
    <col min="2" max="2" width="45.42578125" style="63" customWidth="1"/>
    <col min="3" max="3" width="18.5703125" style="63" customWidth="1"/>
    <col min="4" max="4" width="17.28515625" style="63" customWidth="1"/>
    <col min="5" max="5" width="18.7109375" style="63" customWidth="1"/>
    <col min="6" max="6" width="16.85546875" style="63" customWidth="1"/>
    <col min="7" max="8" width="20.5703125" style="601" customWidth="1"/>
    <col min="9" max="9" width="20.42578125" style="63" customWidth="1"/>
    <col min="10" max="10" width="27" style="63" bestFit="1" customWidth="1"/>
    <col min="11" max="11" width="18.28515625" style="63" customWidth="1"/>
    <col min="12" max="12" width="19.140625" style="63" customWidth="1"/>
    <col min="13" max="13" width="17" style="63" customWidth="1"/>
    <col min="14" max="14" width="19" style="63" bestFit="1" customWidth="1"/>
    <col min="15" max="18" width="9.140625" style="63"/>
    <col min="19" max="19" width="1.5703125" style="63" customWidth="1"/>
    <col min="20" max="20" width="9.140625" style="63"/>
    <col min="21" max="21" width="17.140625" style="63" hidden="1" customWidth="1"/>
    <col min="22" max="32" width="9.140625" style="63" hidden="1" customWidth="1"/>
    <col min="33" max="16384" width="9.140625" style="63"/>
  </cols>
  <sheetData>
    <row r="1" spans="1:24" s="3" customFormat="1" ht="25.5" customHeight="1">
      <c r="A1" s="2166" t="s">
        <v>632</v>
      </c>
      <c r="B1" s="2166"/>
      <c r="C1" s="2166"/>
      <c r="D1" s="2166"/>
      <c r="E1" s="2166"/>
      <c r="F1" s="2166"/>
      <c r="G1" s="2166"/>
      <c r="H1" s="2166"/>
      <c r="I1" s="2166"/>
      <c r="J1" s="2166"/>
      <c r="K1" s="2166"/>
      <c r="L1" s="69"/>
      <c r="M1" s="69"/>
      <c r="N1" s="72"/>
      <c r="O1" s="72"/>
      <c r="P1" s="72"/>
      <c r="Q1" s="72"/>
      <c r="R1" s="72"/>
      <c r="S1" s="72"/>
      <c r="T1" s="72"/>
      <c r="U1" s="72"/>
      <c r="V1" s="72"/>
      <c r="W1" s="72"/>
      <c r="X1" s="72"/>
    </row>
    <row r="2" spans="1:24" s="72" customFormat="1" ht="15" customHeight="1" thickBot="1">
      <c r="A2" s="507"/>
      <c r="B2" s="507"/>
      <c r="C2" s="507"/>
      <c r="D2" s="507"/>
      <c r="E2" s="507"/>
      <c r="F2" s="507"/>
      <c r="G2" s="507"/>
      <c r="H2" s="507"/>
      <c r="I2" s="507"/>
      <c r="J2" s="507"/>
      <c r="K2" s="507"/>
      <c r="L2" s="69"/>
      <c r="M2" s="69"/>
    </row>
    <row r="3" spans="1:24" s="13" customFormat="1" ht="15" customHeight="1" thickBot="1">
      <c r="A3" s="2205" t="s">
        <v>491</v>
      </c>
      <c r="B3" s="2206"/>
      <c r="C3" s="2207" t="s">
        <v>1075</v>
      </c>
      <c r="D3" s="2208"/>
      <c r="E3" s="2208"/>
      <c r="F3" s="2209"/>
      <c r="G3" s="82"/>
      <c r="H3" s="82"/>
      <c r="I3" s="63"/>
      <c r="J3" s="63"/>
      <c r="K3" s="63"/>
      <c r="L3" s="63"/>
      <c r="M3" s="84"/>
      <c r="N3" s="63"/>
      <c r="O3" s="63"/>
      <c r="P3" s="63"/>
      <c r="Q3" s="63"/>
      <c r="R3" s="63"/>
      <c r="S3" s="63"/>
      <c r="T3" s="63"/>
      <c r="U3" s="63"/>
      <c r="V3" s="63"/>
      <c r="W3" s="63"/>
      <c r="X3" s="63"/>
    </row>
    <row r="4" spans="1:24" s="13" customFormat="1" ht="27.75" customHeight="1" thickBot="1">
      <c r="A4" s="99" t="s">
        <v>506</v>
      </c>
      <c r="B4" s="72"/>
      <c r="C4" s="72"/>
      <c r="D4" s="72"/>
      <c r="E4" s="72"/>
      <c r="F4" s="72"/>
      <c r="G4" s="72"/>
      <c r="H4" s="72"/>
      <c r="I4" s="72"/>
      <c r="J4" s="72"/>
      <c r="K4" s="72"/>
      <c r="L4" s="72"/>
      <c r="M4" s="72"/>
      <c r="N4" s="72"/>
      <c r="O4" s="72"/>
      <c r="P4" s="72"/>
      <c r="Q4" s="72"/>
      <c r="R4" s="72"/>
      <c r="S4" s="72"/>
      <c r="T4" s="72"/>
      <c r="U4" s="72"/>
      <c r="V4" s="72"/>
      <c r="W4" s="72"/>
      <c r="X4" s="72"/>
    </row>
    <row r="5" spans="1:24" s="13" customFormat="1" ht="15" customHeight="1">
      <c r="A5" s="1787" t="s">
        <v>420</v>
      </c>
      <c r="B5" s="1788"/>
      <c r="C5" s="2210" t="str">
        <f>IF('PR_Programmatic Progress_1A'!C5:F5="","",'PR_Programmatic Progress_1A'!C5:F5)</f>
        <v>Bhutan</v>
      </c>
      <c r="D5" s="2211"/>
      <c r="E5" s="2211"/>
      <c r="F5" s="2212"/>
      <c r="G5" s="82"/>
      <c r="H5" s="170"/>
      <c r="I5" s="4"/>
      <c r="J5" s="63"/>
      <c r="K5" s="63"/>
      <c r="L5" s="63"/>
      <c r="M5" s="84"/>
      <c r="N5" s="63"/>
      <c r="O5" s="63"/>
      <c r="P5" s="63"/>
      <c r="Q5" s="63"/>
      <c r="R5" s="63"/>
      <c r="S5" s="63"/>
      <c r="T5" s="63"/>
      <c r="U5" s="63"/>
      <c r="V5" s="63"/>
      <c r="W5" s="63"/>
      <c r="X5" s="63"/>
    </row>
    <row r="6" spans="1:24" s="13" customFormat="1" ht="15" customHeight="1">
      <c r="A6" s="1795" t="s">
        <v>421</v>
      </c>
      <c r="B6" s="1796"/>
      <c r="C6" s="2213" t="str">
        <f>IF('PR_Programmatic Progress_1A'!C6:F6="Select","",'PR_Programmatic Progress_1A'!C6:F6)</f>
        <v>HIV/AIDS</v>
      </c>
      <c r="D6" s="2214"/>
      <c r="E6" s="2214"/>
      <c r="F6" s="2215"/>
      <c r="G6" s="82"/>
      <c r="H6" s="82"/>
      <c r="I6" s="63"/>
      <c r="J6" s="63"/>
      <c r="K6" s="63"/>
      <c r="L6" s="63"/>
      <c r="M6" s="63"/>
      <c r="N6" s="63"/>
      <c r="O6" s="63"/>
      <c r="P6" s="63"/>
      <c r="Q6" s="63"/>
      <c r="R6" s="63"/>
      <c r="S6" s="63"/>
      <c r="T6" s="63"/>
      <c r="U6" s="63"/>
      <c r="V6" s="63"/>
      <c r="W6" s="63"/>
      <c r="X6" s="63"/>
    </row>
    <row r="7" spans="1:24" s="13" customFormat="1" ht="25.5" customHeight="1">
      <c r="A7" s="1795" t="s">
        <v>618</v>
      </c>
      <c r="B7" s="1796"/>
      <c r="C7" s="2219" t="str">
        <f>IF('PR_Programmatic Progress_1A'!C7:F7="","",'PR_Programmatic Progress_1A'!C7:F7)</f>
        <v>BTN-607-G03-H</v>
      </c>
      <c r="D7" s="2220"/>
      <c r="E7" s="2220"/>
      <c r="F7" s="2221"/>
      <c r="G7" s="85"/>
      <c r="H7" s="85"/>
      <c r="I7" s="63"/>
      <c r="J7" s="63"/>
      <c r="K7" s="753"/>
      <c r="L7" s="63"/>
      <c r="M7" s="63"/>
      <c r="N7" s="63"/>
      <c r="O7" s="63"/>
      <c r="P7" s="63"/>
      <c r="Q7" s="63"/>
      <c r="R7" s="63"/>
      <c r="S7" s="63"/>
      <c r="T7" s="63"/>
      <c r="U7" s="63"/>
      <c r="V7" s="63"/>
      <c r="W7" s="63"/>
      <c r="X7" s="63"/>
    </row>
    <row r="8" spans="1:24" s="13" customFormat="1" ht="15" customHeight="1">
      <c r="A8" s="1795" t="s">
        <v>591</v>
      </c>
      <c r="B8" s="1796"/>
      <c r="C8" s="2145" t="str">
        <f>IF('PR_Programmatic Progress_1A'!C8:F8="","",'PR_Programmatic Progress_1A'!C8:F8)</f>
        <v xml:space="preserve">Ministry of Health </v>
      </c>
      <c r="D8" s="2146"/>
      <c r="E8" s="2146"/>
      <c r="F8" s="2147"/>
      <c r="G8" s="82"/>
      <c r="H8" s="82"/>
      <c r="I8" s="63"/>
      <c r="J8" s="63"/>
      <c r="K8" s="63"/>
      <c r="L8" s="63"/>
      <c r="M8" s="63"/>
      <c r="N8" s="63"/>
      <c r="O8" s="63"/>
      <c r="P8" s="63"/>
      <c r="Q8" s="63"/>
      <c r="R8" s="63"/>
      <c r="S8" s="63"/>
      <c r="T8" s="63"/>
      <c r="U8" s="63"/>
      <c r="V8" s="63"/>
      <c r="W8" s="63"/>
      <c r="X8" s="63"/>
    </row>
    <row r="9" spans="1:24" s="13" customFormat="1" ht="15" customHeight="1">
      <c r="A9" s="1795" t="s">
        <v>616</v>
      </c>
      <c r="B9" s="1796"/>
      <c r="C9" s="2225">
        <f>IF('PR_Programmatic Progress_1A'!C9:F9="","",'PR_Programmatic Progress_1A'!C9:F9)</f>
        <v>39479</v>
      </c>
      <c r="D9" s="2226"/>
      <c r="E9" s="2226"/>
      <c r="F9" s="2227"/>
      <c r="G9" s="62"/>
      <c r="H9" s="62"/>
      <c r="I9" s="63"/>
      <c r="J9" s="63"/>
      <c r="K9" s="63"/>
      <c r="L9" s="63"/>
      <c r="M9" s="63"/>
      <c r="N9" s="63"/>
      <c r="O9" s="63"/>
      <c r="P9" s="63"/>
      <c r="Q9" s="63"/>
      <c r="R9" s="63"/>
      <c r="S9" s="63"/>
      <c r="T9" s="63"/>
      <c r="U9" s="63"/>
      <c r="V9" s="63"/>
      <c r="W9" s="63"/>
      <c r="X9" s="63"/>
    </row>
    <row r="10" spans="1:24" s="13" customFormat="1" ht="15" customHeight="1" thickBot="1">
      <c r="A10" s="1751" t="s">
        <v>592</v>
      </c>
      <c r="B10" s="1752"/>
      <c r="C10" s="1830" t="str">
        <f>IF('PR_Programmatic Progress_1A'!C10:F10="Select","",'PR_Programmatic Progress_1A'!C10:F10)</f>
        <v>USD</v>
      </c>
      <c r="D10" s="1831"/>
      <c r="E10" s="1831"/>
      <c r="F10" s="1832"/>
      <c r="G10" s="82"/>
      <c r="H10" s="82"/>
      <c r="I10" s="63"/>
      <c r="J10" s="63"/>
      <c r="K10" s="63"/>
      <c r="L10" s="63"/>
      <c r="M10" s="63"/>
      <c r="N10" s="63"/>
      <c r="O10" s="63"/>
      <c r="P10" s="63"/>
      <c r="Q10" s="63"/>
      <c r="R10" s="63"/>
      <c r="S10" s="63"/>
      <c r="T10" s="63"/>
      <c r="U10" s="63"/>
      <c r="V10" s="63"/>
      <c r="W10" s="63"/>
      <c r="X10" s="63"/>
    </row>
    <row r="11" spans="1:24" s="13" customFormat="1" ht="27" customHeight="1" thickBot="1">
      <c r="A11" s="98" t="s">
        <v>507</v>
      </c>
      <c r="B11" s="72"/>
      <c r="C11" s="72"/>
      <c r="D11" s="72"/>
      <c r="E11" s="72"/>
      <c r="F11" s="72"/>
      <c r="G11" s="72"/>
      <c r="H11" s="72"/>
      <c r="I11" s="72"/>
      <c r="J11" s="72"/>
      <c r="K11" s="72"/>
      <c r="L11" s="72"/>
      <c r="M11" s="72"/>
      <c r="N11" s="72"/>
      <c r="O11" s="72"/>
      <c r="P11" s="72"/>
      <c r="Q11" s="72"/>
      <c r="R11" s="72"/>
      <c r="S11" s="72"/>
      <c r="T11" s="72"/>
      <c r="U11" s="72"/>
      <c r="V11" s="72"/>
      <c r="W11" s="72"/>
      <c r="X11" s="72"/>
    </row>
    <row r="12" spans="1:24" s="13" customFormat="1" ht="15" customHeight="1">
      <c r="A12" s="493" t="s">
        <v>624</v>
      </c>
      <c r="B12" s="496"/>
      <c r="C12" s="53" t="s">
        <v>630</v>
      </c>
      <c r="D12" s="597" t="str">
        <f>IF('PR_Programmatic Progress_1A'!D12="Select","",'PR_Programmatic Progress_1A'!D12)</f>
        <v>Quarter</v>
      </c>
      <c r="E12" s="43" t="s">
        <v>631</v>
      </c>
      <c r="F12" s="96">
        <f>IF('PR_Programmatic Progress_1A'!F12="Select","",'PR_Programmatic Progress_1A'!F12)</f>
        <v>16</v>
      </c>
      <c r="G12" s="82"/>
      <c r="H12" s="82"/>
      <c r="I12" s="63"/>
      <c r="J12" s="63"/>
      <c r="K12" s="63"/>
      <c r="L12" s="63"/>
      <c r="M12" s="63"/>
      <c r="N12" s="63"/>
      <c r="O12" s="63"/>
      <c r="P12" s="63"/>
      <c r="Q12" s="63"/>
      <c r="R12" s="63"/>
      <c r="S12" s="63"/>
      <c r="T12" s="63"/>
      <c r="U12" s="63"/>
      <c r="V12" s="63"/>
      <c r="W12" s="63"/>
      <c r="X12" s="63"/>
    </row>
    <row r="13" spans="1:24" s="13" customFormat="1" ht="15" customHeight="1">
      <c r="A13" s="513" t="s">
        <v>625</v>
      </c>
      <c r="B13" s="40"/>
      <c r="C13" s="54" t="s">
        <v>593</v>
      </c>
      <c r="D13" s="95">
        <f>IF('PR_Programmatic Progress_1A'!D13="","",'PR_Programmatic Progress_1A'!D13)</f>
        <v>40848</v>
      </c>
      <c r="E13" s="5" t="s">
        <v>611</v>
      </c>
      <c r="F13" s="97">
        <f>IF('PR_Programmatic Progress_1A'!F13="","",'PR_Programmatic Progress_1A'!F13)</f>
        <v>40939</v>
      </c>
      <c r="G13" s="62"/>
      <c r="H13" s="62"/>
      <c r="I13" s="63"/>
      <c r="J13" s="63"/>
      <c r="K13" s="63"/>
      <c r="L13" s="63"/>
      <c r="M13" s="63"/>
      <c r="N13" s="63"/>
      <c r="O13" s="63"/>
      <c r="P13" s="63"/>
      <c r="Q13" s="63"/>
      <c r="R13" s="63"/>
      <c r="S13" s="63"/>
      <c r="T13" s="63"/>
      <c r="U13" s="63"/>
      <c r="V13" s="63"/>
      <c r="W13" s="63"/>
      <c r="X13" s="63"/>
    </row>
    <row r="14" spans="1:24" s="13" customFormat="1" ht="15" customHeight="1" thickBot="1">
      <c r="A14" s="55" t="s">
        <v>626</v>
      </c>
      <c r="B14" s="41"/>
      <c r="C14" s="1830">
        <f>IF('PR_Programmatic Progress_1A'!C14="Select","",'PR_Programmatic Progress_1A'!C14)</f>
        <v>16</v>
      </c>
      <c r="D14" s="1831"/>
      <c r="E14" s="1831"/>
      <c r="F14" s="1832"/>
      <c r="G14" s="82"/>
      <c r="H14" s="82"/>
      <c r="I14" s="63"/>
      <c r="J14" s="63"/>
      <c r="K14" s="63"/>
      <c r="L14" s="63"/>
      <c r="M14" s="63"/>
      <c r="N14" s="63"/>
      <c r="O14" s="63"/>
      <c r="P14" s="63"/>
      <c r="Q14" s="63"/>
      <c r="R14" s="63"/>
      <c r="S14" s="63"/>
      <c r="T14" s="63"/>
      <c r="U14" s="63"/>
      <c r="V14" s="63"/>
      <c r="W14" s="63"/>
      <c r="X14" s="63"/>
    </row>
    <row r="15" spans="1:24" s="13" customFormat="1" ht="27" customHeight="1" thickBot="1">
      <c r="A15" s="98" t="s">
        <v>508</v>
      </c>
      <c r="B15" s="72"/>
      <c r="C15" s="72"/>
      <c r="D15" s="72"/>
      <c r="E15" s="72"/>
      <c r="F15" s="72"/>
      <c r="G15" s="72"/>
      <c r="H15" s="72"/>
      <c r="I15" s="72"/>
      <c r="J15" s="72"/>
      <c r="K15" s="72"/>
      <c r="L15" s="72"/>
      <c r="M15" s="72"/>
      <c r="N15" s="72"/>
      <c r="O15" s="72"/>
      <c r="P15" s="72"/>
      <c r="Q15" s="72"/>
      <c r="R15" s="72"/>
      <c r="S15" s="72"/>
      <c r="T15" s="72"/>
      <c r="U15" s="72"/>
      <c r="V15" s="72"/>
      <c r="W15" s="72"/>
      <c r="X15" s="72"/>
    </row>
    <row r="16" spans="1:24" s="13" customFormat="1" ht="15" customHeight="1">
      <c r="A16" s="493" t="s">
        <v>629</v>
      </c>
      <c r="B16" s="496"/>
      <c r="C16" s="53" t="s">
        <v>630</v>
      </c>
      <c r="D16" s="597" t="str">
        <f>IF('PR_Programmatic Progress_1A'!D16="Select","",'PR_Programmatic Progress_1A'!D16)</f>
        <v/>
      </c>
      <c r="E16" s="43" t="s">
        <v>631</v>
      </c>
      <c r="F16" s="96">
        <f>IF('PR_Programmatic Progress_1A'!F16="Select","",'PR_Programmatic Progress_1A'!F16)</f>
        <v>0</v>
      </c>
      <c r="G16" s="82"/>
      <c r="H16" s="82"/>
      <c r="I16" s="63"/>
      <c r="J16" s="63"/>
      <c r="K16" s="63"/>
      <c r="L16" s="63"/>
      <c r="M16" s="63"/>
      <c r="N16" s="63"/>
      <c r="O16" s="63"/>
      <c r="P16" s="63"/>
      <c r="Q16" s="63"/>
      <c r="R16" s="63"/>
      <c r="S16" s="63"/>
      <c r="T16" s="63"/>
      <c r="U16" s="63"/>
      <c r="V16" s="63"/>
      <c r="W16" s="63"/>
      <c r="X16" s="63"/>
    </row>
    <row r="17" spans="1:31" s="13" customFormat="1" ht="15" customHeight="1">
      <c r="A17" s="513" t="s">
        <v>627</v>
      </c>
      <c r="B17" s="40"/>
      <c r="C17" s="54" t="s">
        <v>593</v>
      </c>
      <c r="D17" s="598" t="str">
        <f>IF('PR_Programmatic Progress_1A'!D17="","",'PR_Programmatic Progress_1A'!D17)</f>
        <v/>
      </c>
      <c r="E17" s="5" t="s">
        <v>611</v>
      </c>
      <c r="F17" s="97" t="str">
        <f>IF('PR_Programmatic Progress_1A'!F17="","",'PR_Programmatic Progress_1A'!F17)</f>
        <v/>
      </c>
      <c r="G17" s="62"/>
      <c r="H17" s="62"/>
      <c r="I17" s="63"/>
      <c r="J17" s="63"/>
      <c r="K17" s="63"/>
      <c r="L17" s="63"/>
      <c r="M17" s="63"/>
      <c r="N17" s="63"/>
      <c r="O17" s="63"/>
      <c r="P17" s="63"/>
      <c r="Q17" s="63"/>
      <c r="R17" s="63"/>
      <c r="S17" s="63"/>
      <c r="T17" s="63"/>
      <c r="U17" s="63"/>
      <c r="V17" s="63"/>
      <c r="W17" s="63"/>
      <c r="X17" s="63"/>
    </row>
    <row r="18" spans="1:31" s="13" customFormat="1" ht="15" customHeight="1" thickBot="1">
      <c r="A18" s="55" t="s">
        <v>628</v>
      </c>
      <c r="B18" s="41"/>
      <c r="C18" s="1830">
        <f>IF('PR_Programmatic Progress_1A'!C18:F18="Select","",'PR_Programmatic Progress_1A'!C18:F18)</f>
        <v>0</v>
      </c>
      <c r="D18" s="1831"/>
      <c r="E18" s="1831"/>
      <c r="F18" s="1832"/>
      <c r="G18" s="82"/>
      <c r="H18" s="82"/>
      <c r="I18" s="63"/>
      <c r="J18" s="63"/>
      <c r="K18" s="63"/>
      <c r="L18" s="63"/>
      <c r="M18" s="63"/>
      <c r="N18" s="63"/>
      <c r="O18" s="63"/>
      <c r="P18" s="63"/>
      <c r="Q18" s="63"/>
      <c r="R18" s="63"/>
      <c r="S18" s="63"/>
      <c r="T18" s="63"/>
      <c r="U18" s="63"/>
      <c r="V18" s="63"/>
      <c r="W18" s="63"/>
      <c r="X18" s="63"/>
    </row>
    <row r="19" spans="1:31" s="3" customFormat="1" ht="1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31" s="13" customFormat="1" ht="12.75" customHeight="1">
      <c r="A20" s="2217" t="s">
        <v>489</v>
      </c>
      <c r="B20" s="2217"/>
      <c r="C20" s="2217"/>
      <c r="D20" s="2217"/>
      <c r="E20" s="2217"/>
      <c r="F20" s="2217"/>
      <c r="G20" s="2217"/>
      <c r="H20" s="2217"/>
      <c r="I20" s="2217"/>
      <c r="J20" s="2217"/>
      <c r="K20" s="2217"/>
      <c r="L20" s="2217"/>
      <c r="M20" s="2217"/>
      <c r="N20" s="63"/>
      <c r="O20" s="63"/>
      <c r="P20" s="63"/>
      <c r="Q20" s="63"/>
      <c r="R20" s="63"/>
      <c r="S20" s="63"/>
      <c r="T20" s="63"/>
      <c r="U20" s="63"/>
      <c r="V20" s="63"/>
      <c r="W20" s="63"/>
      <c r="X20" s="63"/>
    </row>
    <row r="21" spans="1:31" s="13" customFormat="1" ht="15">
      <c r="A21" s="64"/>
      <c r="B21" s="64"/>
      <c r="C21" s="64"/>
      <c r="D21" s="64"/>
      <c r="E21" s="64"/>
      <c r="F21" s="64"/>
      <c r="G21" s="65"/>
      <c r="H21" s="65"/>
      <c r="I21" s="64"/>
      <c r="J21" s="14"/>
      <c r="K21" s="14"/>
      <c r="L21" s="63"/>
      <c r="M21" s="63"/>
      <c r="N21" s="63"/>
      <c r="O21" s="63"/>
      <c r="P21" s="63"/>
      <c r="Q21" s="63"/>
      <c r="R21" s="63"/>
      <c r="S21" s="63"/>
      <c r="T21" s="63"/>
      <c r="U21" s="63"/>
      <c r="V21" s="63"/>
      <c r="W21" s="63"/>
      <c r="X21" s="63"/>
    </row>
    <row r="22" spans="1:31" s="13" customFormat="1" ht="28.5" customHeight="1">
      <c r="A22" s="66" t="s">
        <v>163</v>
      </c>
      <c r="B22" s="66"/>
      <c r="C22" s="64"/>
      <c r="D22" s="64"/>
      <c r="E22" s="64"/>
      <c r="F22" s="64"/>
      <c r="G22" s="65"/>
      <c r="H22" s="65"/>
      <c r="I22" s="64"/>
      <c r="J22" s="14"/>
      <c r="K22" s="14"/>
      <c r="L22" s="63"/>
      <c r="M22" s="63"/>
      <c r="N22" s="63"/>
      <c r="O22" s="63"/>
      <c r="P22" s="63"/>
      <c r="Q22" s="63"/>
      <c r="R22" s="63"/>
      <c r="S22" s="63"/>
      <c r="T22" s="63"/>
      <c r="U22" s="63"/>
      <c r="V22" s="63"/>
      <c r="W22" s="63"/>
      <c r="X22" s="63"/>
    </row>
    <row r="23" spans="1:31" s="13" customFormat="1" ht="31.5" customHeight="1" thickBot="1">
      <c r="A23" s="599" t="s">
        <v>414</v>
      </c>
      <c r="B23" s="600"/>
      <c r="C23" s="63"/>
      <c r="D23" s="63"/>
      <c r="E23" s="63"/>
      <c r="F23" s="63"/>
      <c r="G23" s="601"/>
      <c r="H23" s="601"/>
      <c r="I23" s="63"/>
      <c r="J23" s="63"/>
      <c r="K23" s="63"/>
      <c r="L23" s="63"/>
      <c r="M23" s="63"/>
      <c r="N23" s="63"/>
      <c r="O23" s="63"/>
      <c r="P23" s="63"/>
      <c r="Q23" s="63"/>
      <c r="R23" s="63"/>
      <c r="S23" s="63"/>
      <c r="T23" s="63"/>
      <c r="U23" s="63"/>
      <c r="V23" s="63"/>
      <c r="W23" s="63"/>
      <c r="X23" s="63"/>
    </row>
    <row r="24" spans="1:31" s="13" customFormat="1" ht="15.75">
      <c r="A24" s="887" t="s">
        <v>380</v>
      </c>
      <c r="B24" s="56"/>
      <c r="C24" s="56"/>
      <c r="D24" s="56"/>
      <c r="E24" s="56"/>
      <c r="F24" s="56"/>
      <c r="G24" s="56"/>
      <c r="H24" s="56"/>
      <c r="I24" s="56"/>
      <c r="J24" s="56"/>
      <c r="K24" s="56"/>
      <c r="L24" s="56"/>
      <c r="M24" s="56"/>
      <c r="N24" s="1759"/>
      <c r="O24" s="1759"/>
      <c r="P24" s="602"/>
      <c r="Q24" s="603"/>
      <c r="R24" s="604"/>
      <c r="S24" s="63"/>
      <c r="T24" s="63"/>
      <c r="U24" s="887" t="s">
        <v>380</v>
      </c>
      <c r="V24" s="56"/>
      <c r="W24" s="56"/>
      <c r="X24" s="56"/>
      <c r="Y24" s="56"/>
      <c r="Z24" s="56"/>
      <c r="AA24" s="56"/>
      <c r="AB24" s="56"/>
      <c r="AC24" s="56"/>
      <c r="AD24" s="56"/>
      <c r="AE24" s="1074"/>
    </row>
    <row r="25" spans="1:31" s="13" customFormat="1" ht="12.75" customHeight="1">
      <c r="A25" s="1757" t="s">
        <v>633</v>
      </c>
      <c r="B25" s="1763" t="s">
        <v>596</v>
      </c>
      <c r="C25" s="2222"/>
      <c r="D25" s="2222"/>
      <c r="E25" s="2222"/>
      <c r="F25" s="1761" t="s">
        <v>154</v>
      </c>
      <c r="G25" s="1761" t="s">
        <v>159</v>
      </c>
      <c r="H25" s="1761" t="s">
        <v>578</v>
      </c>
      <c r="I25" s="1761" t="s">
        <v>160</v>
      </c>
      <c r="J25" s="1827" t="s">
        <v>134</v>
      </c>
      <c r="K25" s="2218"/>
      <c r="L25" s="1761" t="s">
        <v>490</v>
      </c>
      <c r="M25" s="1761" t="s">
        <v>378</v>
      </c>
      <c r="N25" s="1763" t="s">
        <v>423</v>
      </c>
      <c r="O25" s="1825"/>
      <c r="P25" s="1825"/>
      <c r="Q25" s="1825"/>
      <c r="R25" s="1835"/>
      <c r="S25" s="63"/>
      <c r="T25" s="63"/>
      <c r="U25" s="1757" t="s">
        <v>633</v>
      </c>
      <c r="V25" s="2185" t="s">
        <v>596</v>
      </c>
      <c r="W25" s="2186"/>
      <c r="X25" s="2186"/>
      <c r="Y25" s="2186"/>
      <c r="Z25" s="2187" t="s">
        <v>154</v>
      </c>
      <c r="AA25" s="2185" t="s">
        <v>159</v>
      </c>
      <c r="AB25" s="2187" t="s">
        <v>578</v>
      </c>
      <c r="AC25" s="2188" t="s">
        <v>160</v>
      </c>
      <c r="AD25" s="2183" t="s">
        <v>134</v>
      </c>
      <c r="AE25" s="2184"/>
    </row>
    <row r="26" spans="1:31" s="13" customFormat="1" ht="91.5" customHeight="1">
      <c r="A26" s="2216"/>
      <c r="B26" s="2223"/>
      <c r="C26" s="2224"/>
      <c r="D26" s="2224"/>
      <c r="E26" s="2224"/>
      <c r="F26" s="2189"/>
      <c r="G26" s="2189"/>
      <c r="H26" s="2189"/>
      <c r="I26" s="2189"/>
      <c r="J26" s="1827"/>
      <c r="K26" s="2218"/>
      <c r="L26" s="2189"/>
      <c r="M26" s="2189"/>
      <c r="N26" s="1836"/>
      <c r="O26" s="1826"/>
      <c r="P26" s="1826"/>
      <c r="Q26" s="1826"/>
      <c r="R26" s="1837"/>
      <c r="S26" s="63"/>
      <c r="T26" s="63"/>
      <c r="U26" s="2216"/>
      <c r="V26" s="2186"/>
      <c r="W26" s="2186"/>
      <c r="X26" s="2186"/>
      <c r="Y26" s="2186"/>
      <c r="Z26" s="2187"/>
      <c r="AA26" s="2185"/>
      <c r="AB26" s="2187"/>
      <c r="AC26" s="2189"/>
      <c r="AD26" s="2183"/>
      <c r="AE26" s="2184"/>
    </row>
    <row r="27" spans="1:31" s="13" customFormat="1" ht="283.5" customHeight="1">
      <c r="A27" s="832" t="str">
        <f>U27</f>
        <v>Impact</v>
      </c>
      <c r="B27" s="2198" t="str">
        <f>V27</f>
        <v>Percentage of Men  &amp; Women aged 15-49 who are HIV infected</v>
      </c>
      <c r="C27" s="2199"/>
      <c r="D27" s="2199"/>
      <c r="E27" s="2200"/>
      <c r="F27" s="1143">
        <f>Z27</f>
        <v>2011</v>
      </c>
      <c r="G27" s="1114" t="str">
        <f>AA27</f>
        <v>&lt;0.1%</v>
      </c>
      <c r="H27" s="1075" t="str">
        <f>AB27</f>
        <v>-</v>
      </c>
      <c r="I27" s="1114" t="str">
        <f>AC27</f>
        <v>-</v>
      </c>
      <c r="J27" s="2201" t="str">
        <f>AD27</f>
        <v>BSS (Behavioral and Surveillance Survey)</v>
      </c>
      <c r="K27" s="2202"/>
      <c r="L27" s="1072" t="s">
        <v>754</v>
      </c>
      <c r="M27" s="1056" t="s">
        <v>755</v>
      </c>
      <c r="N27" s="1800" t="s">
        <v>752</v>
      </c>
      <c r="O27" s="2203"/>
      <c r="P27" s="2203"/>
      <c r="Q27" s="2203"/>
      <c r="R27" s="2204"/>
      <c r="S27" s="63"/>
      <c r="T27" s="63"/>
      <c r="U27" s="832" t="str">
        <f>IF('PR_Programmatic Progress_1A'!A27="Select","",'PR_Programmatic Progress_1A'!A27)</f>
        <v>Impact</v>
      </c>
      <c r="V27" s="2182" t="str">
        <f>IF('PR_Programmatic Progress_1A'!B27="","",'PR_Programmatic Progress_1A'!B27)</f>
        <v>Percentage of Men  &amp; Women aged 15-49 who are HIV infected</v>
      </c>
      <c r="W27" s="2182"/>
      <c r="X27" s="2182"/>
      <c r="Y27" s="2182"/>
      <c r="Z27" s="834">
        <f>IF('PR_Programmatic Progress_1A'!I27="","",'PR_Programmatic Progress_1A'!I27)</f>
        <v>2011</v>
      </c>
      <c r="AA27" s="1056" t="str">
        <f>IF('PR_Programmatic Progress_1A'!J27="","",'PR_Programmatic Progress_1A'!J27)</f>
        <v>&lt;0.1%</v>
      </c>
      <c r="AB27" s="1056" t="str">
        <f>IF('PR_Programmatic Progress_1A'!K27="","",'PR_Programmatic Progress_1A'!K27)</f>
        <v>-</v>
      </c>
      <c r="AC27" s="895" t="str">
        <f>IF('PR_Programmatic Progress_1A'!L27="","",'PR_Programmatic Progress_1A'!L27)</f>
        <v>-</v>
      </c>
      <c r="AD27" s="2180" t="str">
        <f>'PR_Programmatic Progress_1A'!M27</f>
        <v>BSS (Behavioral and Surveillance Survey)</v>
      </c>
      <c r="AE27" s="2181"/>
    </row>
    <row r="28" spans="1:31" s="13" customFormat="1" ht="317.25" customHeight="1">
      <c r="A28" s="832" t="str">
        <f t="shared" ref="A28:A36" si="0">U28</f>
        <v>Impact</v>
      </c>
      <c r="B28" s="2198" t="str">
        <f t="shared" ref="B28:B36" si="1">V28</f>
        <v>Percentage of uniformed personnel who are  HIV infected</v>
      </c>
      <c r="C28" s="2199"/>
      <c r="D28" s="2199"/>
      <c r="E28" s="2200"/>
      <c r="F28" s="1143">
        <f t="shared" ref="F28:F36" si="2">Z28</f>
        <v>2011</v>
      </c>
      <c r="G28" s="1114" t="str">
        <f t="shared" ref="G28:I36" si="3">AA28</f>
        <v>&lt;0.1%</v>
      </c>
      <c r="H28" s="1075" t="str">
        <f t="shared" si="3"/>
        <v>-</v>
      </c>
      <c r="I28" s="1114" t="str">
        <f t="shared" si="3"/>
        <v>-</v>
      </c>
      <c r="J28" s="2201" t="str">
        <f t="shared" ref="J28:J36" si="4">AD28</f>
        <v>BSS (Behavioral and Surveillance Survey)</v>
      </c>
      <c r="K28" s="2202"/>
      <c r="L28" s="1072" t="s">
        <v>754</v>
      </c>
      <c r="M28" s="1056" t="s">
        <v>755</v>
      </c>
      <c r="N28" s="1800" t="s">
        <v>753</v>
      </c>
      <c r="O28" s="2203"/>
      <c r="P28" s="2203"/>
      <c r="Q28" s="2203"/>
      <c r="R28" s="2204"/>
      <c r="S28" s="63"/>
      <c r="T28" s="63"/>
      <c r="U28" s="832" t="str">
        <f>IF('PR_Programmatic Progress_1A'!A28="Select","",'PR_Programmatic Progress_1A'!A28)</f>
        <v>Impact</v>
      </c>
      <c r="V28" s="2182" t="str">
        <f>IF('PR_Programmatic Progress_1A'!B28="","",'PR_Programmatic Progress_1A'!B28)</f>
        <v>Percentage of uniformed personnel who are  HIV infected</v>
      </c>
      <c r="W28" s="2182"/>
      <c r="X28" s="2182"/>
      <c r="Y28" s="2182"/>
      <c r="Z28" s="834">
        <f>IF('PR_Programmatic Progress_1A'!I28="","",'PR_Programmatic Progress_1A'!I28)</f>
        <v>2011</v>
      </c>
      <c r="AA28" s="1056" t="str">
        <f>IF('PR_Programmatic Progress_1A'!J28="","",'PR_Programmatic Progress_1A'!J28)</f>
        <v>&lt;0.1%</v>
      </c>
      <c r="AB28" s="1056" t="str">
        <f>IF('PR_Programmatic Progress_1A'!K28="","",'PR_Programmatic Progress_1A'!K28)</f>
        <v>-</v>
      </c>
      <c r="AC28" s="895" t="str">
        <f>IF('PR_Programmatic Progress_1A'!L28="","",'PR_Programmatic Progress_1A'!L28)</f>
        <v>-</v>
      </c>
      <c r="AD28" s="2180" t="str">
        <f>'PR_Programmatic Progress_1A'!M28</f>
        <v>BSS (Behavioral and Surveillance Survey)</v>
      </c>
      <c r="AE28" s="2181"/>
    </row>
    <row r="29" spans="1:31" s="13" customFormat="1" ht="95.25" customHeight="1">
      <c r="A29" s="832" t="str">
        <f t="shared" si="0"/>
        <v>Outcome</v>
      </c>
      <c r="B29" s="2198" t="str">
        <f t="shared" si="1"/>
        <v>Percentage of out of school youths aged 15-24 reporting the consistent use of condoms  with non regular sexual partners in last year</v>
      </c>
      <c r="C29" s="2199"/>
      <c r="D29" s="2199"/>
      <c r="E29" s="2200"/>
      <c r="F29" s="1143">
        <f t="shared" si="2"/>
        <v>2011</v>
      </c>
      <c r="G29" s="1114" t="str">
        <f t="shared" si="3"/>
        <v>N/A</v>
      </c>
      <c r="H29" s="1075" t="str">
        <f t="shared" si="3"/>
        <v>Q2 of 2012</v>
      </c>
      <c r="I29" s="1114" t="str">
        <f t="shared" si="3"/>
        <v>N/A</v>
      </c>
      <c r="J29" s="2201" t="str">
        <f t="shared" si="4"/>
        <v>AIS (AIDS Indicator Survey)</v>
      </c>
      <c r="K29" s="2202"/>
      <c r="L29" s="1072" t="s">
        <v>754</v>
      </c>
      <c r="M29" s="1056" t="s">
        <v>756</v>
      </c>
      <c r="N29" s="1800" t="s">
        <v>750</v>
      </c>
      <c r="O29" s="2203"/>
      <c r="P29" s="2203"/>
      <c r="Q29" s="2203"/>
      <c r="R29" s="2204"/>
      <c r="S29" s="63"/>
      <c r="T29" s="63"/>
      <c r="U29" s="832" t="str">
        <f>IF('PR_Programmatic Progress_1A'!A29="Select","",'PR_Programmatic Progress_1A'!A29)</f>
        <v>Outcome</v>
      </c>
      <c r="V29" s="2182" t="str">
        <f>IF('PR_Programmatic Progress_1A'!B29="","",'PR_Programmatic Progress_1A'!B29)</f>
        <v>Percentage of out of school youths aged 15-24 reporting the consistent use of condoms  with non regular sexual partners in last year</v>
      </c>
      <c r="W29" s="2182"/>
      <c r="X29" s="2182"/>
      <c r="Y29" s="2182"/>
      <c r="Z29" s="834">
        <f>IF('PR_Programmatic Progress_1A'!I29="","",'PR_Programmatic Progress_1A'!I29)</f>
        <v>2011</v>
      </c>
      <c r="AA29" s="1056" t="str">
        <f>IF('PR_Programmatic Progress_1A'!J29="","",'PR_Programmatic Progress_1A'!J29)</f>
        <v>N/A</v>
      </c>
      <c r="AB29" s="1056" t="str">
        <f>IF('PR_Programmatic Progress_1A'!K29="","",'PR_Programmatic Progress_1A'!K29)</f>
        <v>Q2 of 2012</v>
      </c>
      <c r="AC29" s="895" t="str">
        <f>IF('PR_Programmatic Progress_1A'!L29="","",'PR_Programmatic Progress_1A'!L29)</f>
        <v>N/A</v>
      </c>
      <c r="AD29" s="2180" t="str">
        <f>'PR_Programmatic Progress_1A'!M29</f>
        <v>AIS (AIDS Indicator Survey)</v>
      </c>
      <c r="AE29" s="2181"/>
    </row>
    <row r="30" spans="1:31" s="13" customFormat="1" ht="105" customHeight="1">
      <c r="A30" s="832" t="str">
        <f t="shared" si="0"/>
        <v>Outcome</v>
      </c>
      <c r="B30" s="2198" t="str">
        <f t="shared" si="1"/>
        <v xml:space="preserve">Percentage of uniformed personnel reporting the consistent use of condoms with non regular sexual partners in the last year </v>
      </c>
      <c r="C30" s="2199"/>
      <c r="D30" s="2199"/>
      <c r="E30" s="2200"/>
      <c r="F30" s="1143">
        <f t="shared" si="2"/>
        <v>2011</v>
      </c>
      <c r="G30" s="1114" t="str">
        <f t="shared" si="3"/>
        <v>NA</v>
      </c>
      <c r="H30" s="1075" t="str">
        <f t="shared" si="3"/>
        <v>Q2 of 2012</v>
      </c>
      <c r="I30" s="1114" t="str">
        <f t="shared" si="3"/>
        <v>N/A</v>
      </c>
      <c r="J30" s="2201" t="str">
        <f t="shared" si="4"/>
        <v>AIS (AIDS Indicator Survey)</v>
      </c>
      <c r="K30" s="2202"/>
      <c r="L30" s="1072" t="s">
        <v>754</v>
      </c>
      <c r="M30" s="1056" t="s">
        <v>756</v>
      </c>
      <c r="N30" s="1800" t="s">
        <v>751</v>
      </c>
      <c r="O30" s="2203"/>
      <c r="P30" s="2203"/>
      <c r="Q30" s="2203"/>
      <c r="R30" s="2204"/>
      <c r="S30" s="63"/>
      <c r="T30" s="63"/>
      <c r="U30" s="832" t="str">
        <f>IF('PR_Programmatic Progress_1A'!A30="Select","",'PR_Programmatic Progress_1A'!A30)</f>
        <v>Outcome</v>
      </c>
      <c r="V30" s="2182" t="str">
        <f>IF('PR_Programmatic Progress_1A'!B30="","",'PR_Programmatic Progress_1A'!B30)</f>
        <v xml:space="preserve">Percentage of uniformed personnel reporting the consistent use of condoms with non regular sexual partners in the last year </v>
      </c>
      <c r="W30" s="2182"/>
      <c r="X30" s="2182"/>
      <c r="Y30" s="2182"/>
      <c r="Z30" s="834">
        <f>IF('PR_Programmatic Progress_1A'!I30="","",'PR_Programmatic Progress_1A'!I30)</f>
        <v>2011</v>
      </c>
      <c r="AA30" s="1056" t="str">
        <f>IF('PR_Programmatic Progress_1A'!J30="","",'PR_Programmatic Progress_1A'!J30)</f>
        <v>NA</v>
      </c>
      <c r="AB30" s="1056" t="str">
        <f>IF('PR_Programmatic Progress_1A'!K30="","",'PR_Programmatic Progress_1A'!K30)</f>
        <v>Q2 of 2012</v>
      </c>
      <c r="AC30" s="895" t="str">
        <f>IF('PR_Programmatic Progress_1A'!L30="","",'PR_Programmatic Progress_1A'!L30)</f>
        <v>N/A</v>
      </c>
      <c r="AD30" s="2180" t="str">
        <f>'PR_Programmatic Progress_1A'!M30</f>
        <v>AIS (AIDS Indicator Survey)</v>
      </c>
      <c r="AE30" s="2181"/>
    </row>
    <row r="31" spans="1:31" s="13" customFormat="1" ht="44.25" customHeight="1">
      <c r="A31" s="832" t="str">
        <f t="shared" si="0"/>
        <v/>
      </c>
      <c r="B31" s="2198" t="str">
        <f t="shared" si="1"/>
        <v/>
      </c>
      <c r="C31" s="2199"/>
      <c r="D31" s="2199"/>
      <c r="E31" s="2200"/>
      <c r="F31" s="1143" t="str">
        <f t="shared" si="2"/>
        <v>-</v>
      </c>
      <c r="G31" s="1114" t="str">
        <f t="shared" si="3"/>
        <v>-</v>
      </c>
      <c r="H31" s="1075" t="str">
        <f t="shared" si="3"/>
        <v>-</v>
      </c>
      <c r="I31" s="1114" t="str">
        <f t="shared" si="3"/>
        <v>-</v>
      </c>
      <c r="J31" s="2201" t="str">
        <f t="shared" si="4"/>
        <v>Select</v>
      </c>
      <c r="K31" s="2202"/>
      <c r="L31" s="1072"/>
      <c r="M31" s="1056"/>
      <c r="N31" s="1800"/>
      <c r="O31" s="2203"/>
      <c r="P31" s="2203"/>
      <c r="Q31" s="2203"/>
      <c r="R31" s="2204"/>
      <c r="S31" s="63"/>
      <c r="T31" s="63"/>
      <c r="U31" s="832" t="str">
        <f>IF('PR_Programmatic Progress_1A'!A31="Select","",'PR_Programmatic Progress_1A'!A31)</f>
        <v/>
      </c>
      <c r="V31" s="2182" t="str">
        <f>IF('PR_Programmatic Progress_1A'!B31="","",'PR_Programmatic Progress_1A'!B31)</f>
        <v/>
      </c>
      <c r="W31" s="2182"/>
      <c r="X31" s="2182"/>
      <c r="Y31" s="2182"/>
      <c r="Z31" s="834" t="str">
        <f>IF('PR_Programmatic Progress_1A'!I31="","",'PR_Programmatic Progress_1A'!I31)</f>
        <v>-</v>
      </c>
      <c r="AA31" s="1056" t="str">
        <f>IF('PR_Programmatic Progress_1A'!J31="","",'PR_Programmatic Progress_1A'!J31)</f>
        <v>-</v>
      </c>
      <c r="AB31" s="1056" t="str">
        <f>IF('PR_Programmatic Progress_1A'!K31="","",'PR_Programmatic Progress_1A'!K31)</f>
        <v>-</v>
      </c>
      <c r="AC31" s="895" t="str">
        <f>IF('PR_Programmatic Progress_1A'!L31="","",'PR_Programmatic Progress_1A'!L31)</f>
        <v>-</v>
      </c>
      <c r="AD31" s="2180" t="str">
        <f>'PR_Programmatic Progress_1A'!M31</f>
        <v>Select</v>
      </c>
      <c r="AE31" s="2181"/>
    </row>
    <row r="32" spans="1:31" s="13" customFormat="1" ht="44.25" customHeight="1">
      <c r="A32" s="832" t="str">
        <f t="shared" si="0"/>
        <v/>
      </c>
      <c r="B32" s="2198" t="str">
        <f t="shared" si="1"/>
        <v/>
      </c>
      <c r="C32" s="2199"/>
      <c r="D32" s="2199"/>
      <c r="E32" s="2200"/>
      <c r="F32" s="1143" t="str">
        <f t="shared" si="2"/>
        <v>-</v>
      </c>
      <c r="G32" s="1114" t="str">
        <f t="shared" si="3"/>
        <v>-</v>
      </c>
      <c r="H32" s="1075" t="str">
        <f t="shared" si="3"/>
        <v>-</v>
      </c>
      <c r="I32" s="1114" t="str">
        <f t="shared" si="3"/>
        <v>-</v>
      </c>
      <c r="J32" s="2201" t="str">
        <f t="shared" si="4"/>
        <v>Select</v>
      </c>
      <c r="K32" s="2202"/>
      <c r="L32" s="1072"/>
      <c r="M32" s="1056"/>
      <c r="N32" s="1800"/>
      <c r="O32" s="2203"/>
      <c r="P32" s="2203"/>
      <c r="Q32" s="2203"/>
      <c r="R32" s="2204"/>
      <c r="S32" s="63"/>
      <c r="T32" s="63"/>
      <c r="U32" s="832" t="str">
        <f>IF('PR_Programmatic Progress_1A'!A32="Select","",'PR_Programmatic Progress_1A'!A32)</f>
        <v/>
      </c>
      <c r="V32" s="2182" t="str">
        <f>IF('PR_Programmatic Progress_1A'!B32="","",'PR_Programmatic Progress_1A'!B32)</f>
        <v/>
      </c>
      <c r="W32" s="2182"/>
      <c r="X32" s="2182"/>
      <c r="Y32" s="2182"/>
      <c r="Z32" s="834" t="str">
        <f>IF('PR_Programmatic Progress_1A'!I32="","",'PR_Programmatic Progress_1A'!I32)</f>
        <v>-</v>
      </c>
      <c r="AA32" s="1056" t="str">
        <f>IF('PR_Programmatic Progress_1A'!J32="","",'PR_Programmatic Progress_1A'!J32)</f>
        <v>-</v>
      </c>
      <c r="AB32" s="1056" t="str">
        <f>IF('PR_Programmatic Progress_1A'!K32="","",'PR_Programmatic Progress_1A'!K32)</f>
        <v>-</v>
      </c>
      <c r="AC32" s="895" t="str">
        <f>IF('PR_Programmatic Progress_1A'!L32="","",'PR_Programmatic Progress_1A'!L32)</f>
        <v>-</v>
      </c>
      <c r="AD32" s="2180" t="str">
        <f>'PR_Programmatic Progress_1A'!M32</f>
        <v>Select</v>
      </c>
      <c r="AE32" s="2181"/>
    </row>
    <row r="33" spans="1:31" s="13" customFormat="1" ht="44.25" customHeight="1">
      <c r="A33" s="832" t="str">
        <f t="shared" si="0"/>
        <v/>
      </c>
      <c r="B33" s="2198" t="str">
        <f t="shared" si="1"/>
        <v/>
      </c>
      <c r="C33" s="2199"/>
      <c r="D33" s="2199"/>
      <c r="E33" s="2200"/>
      <c r="F33" s="1143" t="str">
        <f t="shared" si="2"/>
        <v>-</v>
      </c>
      <c r="G33" s="1114" t="str">
        <f t="shared" si="3"/>
        <v>-</v>
      </c>
      <c r="H33" s="1075" t="str">
        <f t="shared" si="3"/>
        <v>-</v>
      </c>
      <c r="I33" s="1114" t="str">
        <f t="shared" si="3"/>
        <v>-</v>
      </c>
      <c r="J33" s="2201" t="str">
        <f t="shared" si="4"/>
        <v>Select</v>
      </c>
      <c r="K33" s="2202"/>
      <c r="L33" s="1072"/>
      <c r="M33" s="1056"/>
      <c r="N33" s="1800"/>
      <c r="O33" s="2203"/>
      <c r="P33" s="2203"/>
      <c r="Q33" s="2203"/>
      <c r="R33" s="2204"/>
      <c r="S33" s="63"/>
      <c r="T33" s="63"/>
      <c r="U33" s="832" t="str">
        <f>IF('PR_Programmatic Progress_1A'!A33="Select","",'PR_Programmatic Progress_1A'!A33)</f>
        <v/>
      </c>
      <c r="V33" s="2182" t="str">
        <f>IF('PR_Programmatic Progress_1A'!B33="","",'PR_Programmatic Progress_1A'!B33)</f>
        <v/>
      </c>
      <c r="W33" s="2182"/>
      <c r="X33" s="2182"/>
      <c r="Y33" s="2182"/>
      <c r="Z33" s="834" t="str">
        <f>IF('PR_Programmatic Progress_1A'!I33="","",'PR_Programmatic Progress_1A'!I33)</f>
        <v>-</v>
      </c>
      <c r="AA33" s="1056" t="str">
        <f>IF('PR_Programmatic Progress_1A'!J33="","",'PR_Programmatic Progress_1A'!J33)</f>
        <v>-</v>
      </c>
      <c r="AB33" s="1056" t="str">
        <f>IF('PR_Programmatic Progress_1A'!K33="","",'PR_Programmatic Progress_1A'!K33)</f>
        <v>-</v>
      </c>
      <c r="AC33" s="895" t="str">
        <f>IF('PR_Programmatic Progress_1A'!L33="","",'PR_Programmatic Progress_1A'!L33)</f>
        <v>-</v>
      </c>
      <c r="AD33" s="2180" t="str">
        <f>'PR_Programmatic Progress_1A'!M33</f>
        <v>Select</v>
      </c>
      <c r="AE33" s="2181"/>
    </row>
    <row r="34" spans="1:31" s="13" customFormat="1" ht="44.25" customHeight="1">
      <c r="A34" s="832" t="str">
        <f t="shared" si="0"/>
        <v/>
      </c>
      <c r="B34" s="2198" t="str">
        <f t="shared" si="1"/>
        <v/>
      </c>
      <c r="C34" s="2199"/>
      <c r="D34" s="2199"/>
      <c r="E34" s="2200"/>
      <c r="F34" s="1143" t="str">
        <f t="shared" si="2"/>
        <v>-</v>
      </c>
      <c r="G34" s="1114" t="str">
        <f t="shared" si="3"/>
        <v>-</v>
      </c>
      <c r="H34" s="1075" t="str">
        <f t="shared" si="3"/>
        <v>-</v>
      </c>
      <c r="I34" s="1114" t="str">
        <f t="shared" si="3"/>
        <v>-</v>
      </c>
      <c r="J34" s="2201" t="str">
        <f t="shared" si="4"/>
        <v>Select</v>
      </c>
      <c r="K34" s="2202"/>
      <c r="L34" s="1072"/>
      <c r="M34" s="1056"/>
      <c r="N34" s="1800"/>
      <c r="O34" s="2203"/>
      <c r="P34" s="2203"/>
      <c r="Q34" s="2203"/>
      <c r="R34" s="2204"/>
      <c r="S34" s="63"/>
      <c r="T34" s="63"/>
      <c r="U34" s="832" t="str">
        <f>IF('PR_Programmatic Progress_1A'!A34="Select","",'PR_Programmatic Progress_1A'!A34)</f>
        <v/>
      </c>
      <c r="V34" s="2182" t="str">
        <f>IF('PR_Programmatic Progress_1A'!B34="","",'PR_Programmatic Progress_1A'!B34)</f>
        <v/>
      </c>
      <c r="W34" s="2182"/>
      <c r="X34" s="2182"/>
      <c r="Y34" s="2182"/>
      <c r="Z34" s="834" t="str">
        <f>IF('PR_Programmatic Progress_1A'!I34="","",'PR_Programmatic Progress_1A'!I34)</f>
        <v>-</v>
      </c>
      <c r="AA34" s="1056" t="str">
        <f>IF('PR_Programmatic Progress_1A'!J34="","",'PR_Programmatic Progress_1A'!J34)</f>
        <v>-</v>
      </c>
      <c r="AB34" s="1056" t="str">
        <f>IF('PR_Programmatic Progress_1A'!K34="","",'PR_Programmatic Progress_1A'!K34)</f>
        <v>-</v>
      </c>
      <c r="AC34" s="895" t="str">
        <f>IF('PR_Programmatic Progress_1A'!L34="","",'PR_Programmatic Progress_1A'!L34)</f>
        <v>-</v>
      </c>
      <c r="AD34" s="2180" t="str">
        <f>'PR_Programmatic Progress_1A'!M34</f>
        <v>Select</v>
      </c>
      <c r="AE34" s="2181"/>
    </row>
    <row r="35" spans="1:31" s="13" customFormat="1" ht="44.25" customHeight="1">
      <c r="A35" s="832" t="str">
        <f t="shared" si="0"/>
        <v/>
      </c>
      <c r="B35" s="2198" t="str">
        <f t="shared" si="1"/>
        <v/>
      </c>
      <c r="C35" s="2199"/>
      <c r="D35" s="2199"/>
      <c r="E35" s="2200"/>
      <c r="F35" s="1143" t="str">
        <f t="shared" si="2"/>
        <v>-</v>
      </c>
      <c r="G35" s="1114" t="str">
        <f t="shared" si="3"/>
        <v>-</v>
      </c>
      <c r="H35" s="1075" t="str">
        <f t="shared" si="3"/>
        <v>-</v>
      </c>
      <c r="I35" s="1114" t="str">
        <f t="shared" si="3"/>
        <v>-</v>
      </c>
      <c r="J35" s="2201" t="str">
        <f t="shared" si="4"/>
        <v>Select</v>
      </c>
      <c r="K35" s="2202"/>
      <c r="L35" s="1072"/>
      <c r="M35" s="1056"/>
      <c r="N35" s="1800"/>
      <c r="O35" s="2203"/>
      <c r="P35" s="2203"/>
      <c r="Q35" s="2203"/>
      <c r="R35" s="2204"/>
      <c r="S35" s="63"/>
      <c r="T35" s="63"/>
      <c r="U35" s="832" t="str">
        <f>IF('PR_Programmatic Progress_1A'!A35="Select","",'PR_Programmatic Progress_1A'!A35)</f>
        <v/>
      </c>
      <c r="V35" s="2182" t="str">
        <f>IF('PR_Programmatic Progress_1A'!B35="","",'PR_Programmatic Progress_1A'!B35)</f>
        <v/>
      </c>
      <c r="W35" s="2182"/>
      <c r="X35" s="2182"/>
      <c r="Y35" s="2182"/>
      <c r="Z35" s="834" t="str">
        <f>IF('PR_Programmatic Progress_1A'!I35="","",'PR_Programmatic Progress_1A'!I35)</f>
        <v>-</v>
      </c>
      <c r="AA35" s="1056" t="str">
        <f>IF('PR_Programmatic Progress_1A'!J35="","",'PR_Programmatic Progress_1A'!J35)</f>
        <v>-</v>
      </c>
      <c r="AB35" s="1056" t="str">
        <f>IF('PR_Programmatic Progress_1A'!K35="","",'PR_Programmatic Progress_1A'!K35)</f>
        <v>-</v>
      </c>
      <c r="AC35" s="895" t="str">
        <f>IF('PR_Programmatic Progress_1A'!L35="","",'PR_Programmatic Progress_1A'!L35)</f>
        <v>-</v>
      </c>
      <c r="AD35" s="2180" t="str">
        <f>'PR_Programmatic Progress_1A'!M35</f>
        <v>Select</v>
      </c>
      <c r="AE35" s="2181"/>
    </row>
    <row r="36" spans="1:31" s="13" customFormat="1" ht="44.25" customHeight="1" thickBot="1">
      <c r="A36" s="1331" t="str">
        <f t="shared" si="0"/>
        <v/>
      </c>
      <c r="B36" s="2190" t="str">
        <f t="shared" si="1"/>
        <v/>
      </c>
      <c r="C36" s="2191"/>
      <c r="D36" s="2191"/>
      <c r="E36" s="2192"/>
      <c r="F36" s="1332" t="str">
        <f t="shared" si="2"/>
        <v>-</v>
      </c>
      <c r="G36" s="1333" t="str">
        <f t="shared" si="3"/>
        <v>-</v>
      </c>
      <c r="H36" s="1334" t="str">
        <f t="shared" si="3"/>
        <v>-</v>
      </c>
      <c r="I36" s="1333" t="str">
        <f t="shared" si="3"/>
        <v>-</v>
      </c>
      <c r="J36" s="2193" t="str">
        <f t="shared" si="4"/>
        <v>Select</v>
      </c>
      <c r="K36" s="2194"/>
      <c r="L36" s="1312"/>
      <c r="M36" s="1335"/>
      <c r="N36" s="2195"/>
      <c r="O36" s="2196"/>
      <c r="P36" s="2196"/>
      <c r="Q36" s="2196"/>
      <c r="R36" s="2197"/>
      <c r="S36" s="63"/>
      <c r="T36" s="63"/>
      <c r="U36" s="832" t="str">
        <f>IF('PR_Programmatic Progress_1A'!A36="Select","",'PR_Programmatic Progress_1A'!A36)</f>
        <v/>
      </c>
      <c r="V36" s="2182" t="str">
        <f>IF('PR_Programmatic Progress_1A'!B36="","",'PR_Programmatic Progress_1A'!B36)</f>
        <v/>
      </c>
      <c r="W36" s="2182"/>
      <c r="X36" s="2182"/>
      <c r="Y36" s="2182"/>
      <c r="Z36" s="834" t="str">
        <f>IF('PR_Programmatic Progress_1A'!I36="","",'PR_Programmatic Progress_1A'!I36)</f>
        <v>-</v>
      </c>
      <c r="AA36" s="1056" t="str">
        <f>IF('PR_Programmatic Progress_1A'!J36="","",'PR_Programmatic Progress_1A'!J36)</f>
        <v>-</v>
      </c>
      <c r="AB36" s="1056" t="str">
        <f>IF('PR_Programmatic Progress_1A'!K36="","",'PR_Programmatic Progress_1A'!K36)</f>
        <v>-</v>
      </c>
      <c r="AC36" s="895" t="str">
        <f>IF('PR_Programmatic Progress_1A'!L36="","",'PR_Programmatic Progress_1A'!L36)</f>
        <v>-</v>
      </c>
      <c r="AD36" s="2180" t="str">
        <f>'PR_Programmatic Progress_1A'!M36</f>
        <v>Select</v>
      </c>
      <c r="AE36" s="2181"/>
    </row>
    <row r="37" spans="1:31" s="13" customFormat="1">
      <c r="A37" s="63"/>
      <c r="B37" s="63"/>
      <c r="C37" s="63"/>
      <c r="D37" s="63"/>
      <c r="E37" s="63"/>
      <c r="F37" s="63"/>
      <c r="G37" s="601"/>
      <c r="H37" s="601"/>
      <c r="I37" s="63"/>
      <c r="J37" s="63"/>
      <c r="K37" s="63"/>
      <c r="L37" s="63"/>
      <c r="M37" s="63"/>
      <c r="N37" s="63"/>
      <c r="O37" s="63"/>
      <c r="P37" s="63"/>
      <c r="Q37" s="63"/>
      <c r="R37" s="63"/>
      <c r="S37" s="63"/>
      <c r="T37" s="63"/>
      <c r="U37" s="63"/>
      <c r="V37" s="63"/>
      <c r="W37" s="63"/>
      <c r="X37" s="63"/>
    </row>
  </sheetData>
  <sheetProtection formatCells="0" formatColumns="0" formatRows="0"/>
  <customSheetViews>
    <customSheetView guid="{E26F941C-F347-432D-B4B3-73B25F002075}" scale="65" fitToPage="1" hiddenColumns="1" topLeftCell="D22">
      <selection activeCell="G56" sqref="G56"/>
      <rowBreaks count="1" manualBreakCount="1">
        <brk id="39" max="16383" man="1"/>
      </rowBreaks>
      <pageMargins left="0.49" right="0.38" top="0.49" bottom="0.49" header="0.43" footer="0.38"/>
      <pageSetup paperSize="9" scale="40" orientation="landscape" cellComments="asDisplayed" r:id="rId1"/>
      <headerFooter alignWithMargins="0">
        <oddFooter>&amp;L&amp;9SD 3.1A - Form, Ongoing DR/PU and LFA Review and Recommendation_v2.1 February 2006&amp;R&amp;9Page &amp;P of &amp;N</oddFooter>
      </headerFooter>
    </customSheetView>
  </customSheetViews>
  <mergeCells count="86">
    <mergeCell ref="N27:R27"/>
    <mergeCell ref="G25:G26"/>
    <mergeCell ref="I25:I26"/>
    <mergeCell ref="L25:L26"/>
    <mergeCell ref="M25:M26"/>
    <mergeCell ref="F25:F26"/>
    <mergeCell ref="B25:E26"/>
    <mergeCell ref="C8:F8"/>
    <mergeCell ref="C9:F9"/>
    <mergeCell ref="J29:K29"/>
    <mergeCell ref="A9:B9"/>
    <mergeCell ref="A6:B6"/>
    <mergeCell ref="C6:F6"/>
    <mergeCell ref="U25:U26"/>
    <mergeCell ref="C10:F10"/>
    <mergeCell ref="A20:M20"/>
    <mergeCell ref="A10:B10"/>
    <mergeCell ref="N24:O24"/>
    <mergeCell ref="C14:F14"/>
    <mergeCell ref="C18:F18"/>
    <mergeCell ref="J25:K26"/>
    <mergeCell ref="H25:H26"/>
    <mergeCell ref="N25:R26"/>
    <mergeCell ref="A7:B7"/>
    <mergeCell ref="C7:F7"/>
    <mergeCell ref="A8:B8"/>
    <mergeCell ref="A25:A26"/>
    <mergeCell ref="A1:K1"/>
    <mergeCell ref="A3:B3"/>
    <mergeCell ref="C3:F3"/>
    <mergeCell ref="A5:B5"/>
    <mergeCell ref="C5:F5"/>
    <mergeCell ref="N28:R28"/>
    <mergeCell ref="N33:R33"/>
    <mergeCell ref="J33:K33"/>
    <mergeCell ref="J31:K31"/>
    <mergeCell ref="B35:E35"/>
    <mergeCell ref="J35:K35"/>
    <mergeCell ref="N35:R35"/>
    <mergeCell ref="N31:R31"/>
    <mergeCell ref="N32:R32"/>
    <mergeCell ref="J32:K32"/>
    <mergeCell ref="B32:E32"/>
    <mergeCell ref="J30:K30"/>
    <mergeCell ref="B36:E36"/>
    <mergeCell ref="J36:K36"/>
    <mergeCell ref="N36:R36"/>
    <mergeCell ref="B27:E27"/>
    <mergeCell ref="B28:E28"/>
    <mergeCell ref="J27:K27"/>
    <mergeCell ref="B29:E29"/>
    <mergeCell ref="B30:E30"/>
    <mergeCell ref="N29:R29"/>
    <mergeCell ref="N30:R30"/>
    <mergeCell ref="B34:E34"/>
    <mergeCell ref="J34:K34"/>
    <mergeCell ref="N34:R34"/>
    <mergeCell ref="J28:K28"/>
    <mergeCell ref="B33:E33"/>
    <mergeCell ref="B31:E31"/>
    <mergeCell ref="AD27:AE27"/>
    <mergeCell ref="V28:Y28"/>
    <mergeCell ref="AD28:AE28"/>
    <mergeCell ref="AD25:AE26"/>
    <mergeCell ref="V25:Y26"/>
    <mergeCell ref="Z25:Z26"/>
    <mergeCell ref="AA25:AA26"/>
    <mergeCell ref="AB25:AB26"/>
    <mergeCell ref="AC25:AC26"/>
    <mergeCell ref="V27:Y27"/>
    <mergeCell ref="AD31:AE31"/>
    <mergeCell ref="V32:Y32"/>
    <mergeCell ref="AD32:AE32"/>
    <mergeCell ref="V29:Y29"/>
    <mergeCell ref="AD29:AE29"/>
    <mergeCell ref="V30:Y30"/>
    <mergeCell ref="AD30:AE30"/>
    <mergeCell ref="V31:Y31"/>
    <mergeCell ref="AD35:AE35"/>
    <mergeCell ref="V36:Y36"/>
    <mergeCell ref="AD36:AE36"/>
    <mergeCell ref="V33:Y33"/>
    <mergeCell ref="AD33:AE33"/>
    <mergeCell ref="V34:Y34"/>
    <mergeCell ref="AD34:AE34"/>
    <mergeCell ref="V35:Y35"/>
  </mergeCells>
  <phoneticPr fontId="29" type="noConversion"/>
  <conditionalFormatting sqref="A27:K36">
    <cfRule type="cellIs" dxfId="73" priority="3" operator="notEqual">
      <formula>U27</formula>
    </cfRule>
  </conditionalFormatting>
  <conditionalFormatting sqref="L27:L36">
    <cfRule type="cellIs" dxfId="72" priority="67" operator="notEqual">
      <formula>#REF!</formula>
    </cfRule>
  </conditionalFormatting>
  <dataValidations count="6">
    <dataValidation allowBlank="1" showInputMessage="1" showErrorMessage="1" sqref="Z27:AC36 U27:U36 A27:A36"/>
    <dataValidation type="list" allowBlank="1" showInputMessage="1" showErrorMessage="1" sqref="G14:H14 G18:H18">
      <formula1>"Select,N/A,1,2,3,4,5,6,7,8,9,10,11,12,13,14,15,16,17,18,19,20"</formula1>
    </dataValidation>
    <dataValidation type="list" allowBlank="1" showInputMessage="1" showErrorMessage="1" sqref="G6:H6">
      <formula1>"Select,Health Systems Strengthening,HIV/AIDS,HIV/TB,Integrated,Malaria,Tuberculosis"</formula1>
    </dataValidation>
    <dataValidation type="list" allowBlank="1" showInputMessage="1" showErrorMessage="1" sqref="G10:H10">
      <formula1>"Select,USD,EUR"</formula1>
    </dataValidation>
    <dataValidation type="list" allowBlank="1" showInputMessage="1" showErrorMessage="1" sqref="G12:H12 G16:H16">
      <formula1>"Select,1,2,3,4,5,6,7,8,9,10,11,12,13,14,15,16,17,18,19,20"</formula1>
    </dataValidation>
    <dataValidation type="list" allowBlank="1" showInputMessage="1" prompt="If &quot;Other&quot;, please specify" sqref="L27:L36">
      <formula1>"Select,Not Verified,Desk Review,Other ..."</formula1>
    </dataValidation>
  </dataValidations>
  <printOptions horizontalCentered="1"/>
  <pageMargins left="0.74803149606299213" right="0.74803149606299213" top="0.59055118110236227" bottom="0.59055118110236227" header="0.51181102362204722" footer="0.51181102362204722"/>
  <pageSetup paperSize="9" scale="40" fitToHeight="0" orientation="landscape" cellComments="asDisplayed" r:id="rId2"/>
  <headerFooter alignWithMargins="0">
    <oddFooter>&amp;L&amp;9&amp;F&amp;C&amp;A&amp;R&amp;9Page &amp;P of &amp;N</oddFooter>
  </headerFooter>
  <ignoredErrors>
    <ignoredError sqref="F12:F13 F16:F17 C18 D16:D17 C14 D12:D13 D5:F10 C5:C6 C8:C10" unlockedFormula="1"/>
  </ignoredErrors>
</worksheet>
</file>

<file path=xl/worksheets/sheet16.xml><?xml version="1.0" encoding="utf-8"?>
<worksheet xmlns="http://schemas.openxmlformats.org/spreadsheetml/2006/main" xmlns:r="http://schemas.openxmlformats.org/officeDocument/2006/relationships">
  <sheetPr enableFormatConditionsCalculation="0">
    <tabColor indexed="40"/>
    <pageSetUpPr fitToPage="1"/>
  </sheetPr>
  <dimension ref="A1:AI32"/>
  <sheetViews>
    <sheetView view="pageBreakPreview" topLeftCell="A23" zoomScale="70" zoomScaleNormal="40" zoomScaleSheetLayoutView="70" workbookViewId="0">
      <selection activeCell="A26" sqref="A26:T32"/>
    </sheetView>
  </sheetViews>
  <sheetFormatPr defaultRowHeight="12.75"/>
  <cols>
    <col min="1" max="2" width="13.42578125" style="63" customWidth="1"/>
    <col min="3" max="3" width="19.5703125" style="63" customWidth="1"/>
    <col min="4" max="4" width="22.7109375" style="63" customWidth="1"/>
    <col min="5" max="5" width="14.85546875" style="63" customWidth="1"/>
    <col min="6" max="6" width="24" style="63" customWidth="1"/>
    <col min="7" max="7" width="16.7109375" style="601" customWidth="1"/>
    <col min="8" max="8" width="12.7109375" style="63" customWidth="1"/>
    <col min="9" max="9" width="19.5703125" style="63" customWidth="1"/>
    <col min="10" max="10" width="18.28515625" style="609" customWidth="1"/>
    <col min="11" max="11" width="21.42578125" style="63" bestFit="1" customWidth="1"/>
    <col min="12" max="12" width="21.140625" style="63" bestFit="1" customWidth="1"/>
    <col min="13" max="13" width="12.140625" style="63" customWidth="1"/>
    <col min="14" max="14" width="5.7109375" style="63" customWidth="1"/>
    <col min="15" max="15" width="17" style="63" customWidth="1"/>
    <col min="16" max="16" width="20.140625" style="63" bestFit="1" customWidth="1"/>
    <col min="17" max="17" width="9.140625" style="63"/>
    <col min="18" max="18" width="29.5703125" style="63" customWidth="1"/>
    <col min="19" max="20" width="9.140625" style="63"/>
    <col min="21" max="21" width="2.85546875" style="63" customWidth="1"/>
    <col min="22" max="35" width="9.140625" style="63" hidden="1" customWidth="1"/>
    <col min="36" max="16384" width="9.140625" style="63"/>
  </cols>
  <sheetData>
    <row r="1" spans="1:34" s="3" customFormat="1" ht="25.5" customHeight="1">
      <c r="A1" s="2166" t="s">
        <v>632</v>
      </c>
      <c r="B1" s="2166"/>
      <c r="C1" s="2166"/>
      <c r="D1" s="2166"/>
      <c r="E1" s="2166"/>
      <c r="F1" s="2166"/>
      <c r="G1" s="2166"/>
      <c r="H1" s="2166"/>
      <c r="I1" s="2166"/>
      <c r="J1" s="2166"/>
      <c r="K1" s="2166"/>
      <c r="L1" s="69"/>
      <c r="M1" s="69"/>
      <c r="N1" s="72"/>
      <c r="O1" s="72"/>
      <c r="P1" s="72"/>
      <c r="Q1" s="72"/>
      <c r="R1" s="72"/>
      <c r="S1" s="72"/>
      <c r="T1" s="72"/>
      <c r="U1" s="72"/>
      <c r="V1" s="72"/>
      <c r="W1" s="72"/>
      <c r="X1" s="72"/>
      <c r="Y1" s="72"/>
    </row>
    <row r="2" spans="1:34" s="13" customFormat="1" ht="27" customHeight="1" thickBot="1">
      <c r="A2" s="98" t="s">
        <v>507</v>
      </c>
      <c r="B2" s="72"/>
      <c r="C2" s="72"/>
      <c r="D2" s="72"/>
      <c r="E2" s="72"/>
      <c r="F2" s="72"/>
      <c r="G2" s="72"/>
      <c r="H2" s="72"/>
      <c r="I2" s="72"/>
      <c r="J2" s="453"/>
      <c r="K2" s="72"/>
      <c r="L2" s="72"/>
      <c r="M2" s="72"/>
      <c r="N2" s="72"/>
      <c r="O2" s="72"/>
      <c r="P2" s="72"/>
      <c r="Q2" s="72"/>
      <c r="R2" s="72"/>
      <c r="S2" s="72"/>
      <c r="T2" s="72"/>
      <c r="U2" s="72"/>
      <c r="V2" s="72"/>
      <c r="W2" s="72"/>
      <c r="X2" s="72"/>
      <c r="Y2" s="72"/>
    </row>
    <row r="3" spans="1:34" s="4" customFormat="1" ht="25.5" customHeight="1" thickBot="1">
      <c r="A3" s="1795" t="s">
        <v>422</v>
      </c>
      <c r="B3" s="2253"/>
      <c r="C3" s="2254"/>
      <c r="D3" s="497" t="str">
        <f>IF('LFA_Programmatic Progress_1A'!C7="","",'LFA_Programmatic Progress_1A'!C7)</f>
        <v>BTN-607-G03-H</v>
      </c>
      <c r="E3" s="498"/>
      <c r="F3" s="498"/>
      <c r="G3" s="499"/>
      <c r="H3" s="194"/>
      <c r="I3" s="199"/>
      <c r="J3" s="467"/>
      <c r="K3" s="73"/>
      <c r="L3" s="73"/>
      <c r="M3" s="73"/>
      <c r="N3" s="73"/>
      <c r="O3" s="73"/>
      <c r="P3" s="73"/>
      <c r="Q3" s="73"/>
      <c r="R3" s="73"/>
      <c r="S3" s="73"/>
      <c r="T3" s="73"/>
      <c r="U3" s="73"/>
      <c r="V3" s="73"/>
      <c r="W3" s="73"/>
      <c r="X3" s="73"/>
      <c r="Y3" s="73"/>
    </row>
    <row r="4" spans="1:34" s="4" customFormat="1" ht="15" customHeight="1">
      <c r="A4" s="1795" t="s">
        <v>624</v>
      </c>
      <c r="B4" s="2254"/>
      <c r="C4" s="2254"/>
      <c r="D4" s="53" t="s">
        <v>630</v>
      </c>
      <c r="E4" s="504" t="str">
        <f>IF('LFA_Programmatic Progress_1A'!D12="Select","",'LFA_Programmatic Progress_1A'!D12)</f>
        <v>Quarter</v>
      </c>
      <c r="F4" s="5" t="s">
        <v>631</v>
      </c>
      <c r="G4" s="47">
        <f>IF('LFA_Programmatic Progress_1A'!F12="Select","",'LFA_Programmatic Progress_1A'!F12)</f>
        <v>16</v>
      </c>
      <c r="H4" s="195"/>
      <c r="I4" s="170"/>
      <c r="K4" s="73"/>
      <c r="L4" s="73"/>
      <c r="M4" s="73"/>
      <c r="N4" s="73"/>
      <c r="O4" s="73"/>
      <c r="P4" s="73"/>
      <c r="Q4" s="73"/>
      <c r="R4" s="73"/>
      <c r="S4" s="73"/>
      <c r="T4" s="73"/>
      <c r="U4" s="73"/>
      <c r="V4" s="73"/>
      <c r="W4" s="73"/>
      <c r="X4" s="73"/>
      <c r="Y4" s="73"/>
    </row>
    <row r="5" spans="1:34" s="4" customFormat="1" ht="15" customHeight="1" thickBot="1">
      <c r="A5" s="2255" t="s">
        <v>625</v>
      </c>
      <c r="B5" s="2254"/>
      <c r="C5" s="2254"/>
      <c r="D5" s="54" t="s">
        <v>593</v>
      </c>
      <c r="E5" s="519">
        <f>IF('LFA_Programmatic Progress_1A'!D13="","",'LFA_Programmatic Progress_1A'!D13)</f>
        <v>40848</v>
      </c>
      <c r="F5" s="5" t="s">
        <v>611</v>
      </c>
      <c r="G5" s="520">
        <f>IF('LFA_Programmatic Progress_1A'!F13="","",'LFA_Programmatic Progress_1A'!F13)</f>
        <v>40939</v>
      </c>
      <c r="H5" s="196"/>
      <c r="I5" s="199"/>
      <c r="J5" s="468"/>
      <c r="K5" s="73"/>
      <c r="L5" s="73"/>
      <c r="M5" s="73"/>
      <c r="N5" s="73"/>
      <c r="O5" s="73"/>
      <c r="P5" s="73"/>
      <c r="Q5" s="73"/>
      <c r="R5" s="73"/>
      <c r="S5" s="73"/>
      <c r="T5" s="73"/>
      <c r="U5" s="73"/>
      <c r="V5" s="73"/>
      <c r="W5" s="73"/>
      <c r="X5" s="73"/>
      <c r="Y5" s="73"/>
    </row>
    <row r="6" spans="1:34" s="4" customFormat="1" ht="15" customHeight="1" thickBot="1">
      <c r="A6" s="2256" t="s">
        <v>626</v>
      </c>
      <c r="B6" s="2257"/>
      <c r="C6" s="2258"/>
      <c r="D6" s="494">
        <f>IF('LFA_Programmatic Progress_1A'!C14="Select","",'LFA_Programmatic Progress_1A'!C14)</f>
        <v>16</v>
      </c>
      <c r="E6" s="494"/>
      <c r="F6" s="494"/>
      <c r="G6" s="495"/>
      <c r="I6" s="198"/>
      <c r="J6" s="469"/>
      <c r="K6" s="73"/>
      <c r="L6" s="73"/>
      <c r="M6" s="73"/>
      <c r="N6" s="73"/>
      <c r="O6" s="73"/>
      <c r="P6" s="73"/>
      <c r="Q6" s="73"/>
      <c r="R6" s="73"/>
      <c r="S6" s="73"/>
      <c r="T6" s="73"/>
      <c r="U6" s="73"/>
      <c r="V6" s="73"/>
      <c r="W6" s="73"/>
      <c r="X6" s="73"/>
      <c r="Y6" s="73"/>
    </row>
    <row r="7" spans="1:34" s="67" customFormat="1" ht="22.5" customHeight="1">
      <c r="A7" s="2260"/>
      <c r="B7" s="2260"/>
      <c r="C7" s="2260"/>
      <c r="D7" s="2260"/>
      <c r="E7" s="2260"/>
      <c r="F7" s="2260"/>
      <c r="G7" s="2260"/>
      <c r="H7" s="2260"/>
      <c r="I7" s="2260"/>
      <c r="J7" s="2260"/>
      <c r="K7" s="2260"/>
      <c r="L7" s="2260"/>
      <c r="M7" s="68"/>
    </row>
    <row r="8" spans="1:34" s="67" customFormat="1" ht="39" customHeight="1" thickBot="1">
      <c r="A8" s="2259" t="s">
        <v>249</v>
      </c>
      <c r="B8" s="2259"/>
      <c r="C8" s="2259"/>
      <c r="D8" s="2259"/>
      <c r="E8" s="2259"/>
      <c r="F8" s="2259"/>
      <c r="G8" s="2259"/>
      <c r="H8" s="2259"/>
      <c r="I8" s="2259"/>
      <c r="J8" s="2259"/>
      <c r="K8" s="2259"/>
      <c r="L8" s="2259"/>
      <c r="M8" s="2259"/>
      <c r="N8" s="2259"/>
      <c r="O8" s="2259"/>
      <c r="P8" s="2259"/>
      <c r="Q8" s="2259"/>
      <c r="R8" s="2259"/>
      <c r="S8" s="2259"/>
      <c r="T8" s="2259"/>
    </row>
    <row r="9" spans="1:34" s="13" customFormat="1" ht="21.75" customHeight="1" thickBot="1">
      <c r="A9" s="2238" t="s">
        <v>243</v>
      </c>
      <c r="B9" s="2239"/>
      <c r="C9" s="2239"/>
      <c r="D9" s="2239"/>
      <c r="E9" s="2239"/>
      <c r="F9" s="2239"/>
      <c r="G9" s="2239"/>
      <c r="H9" s="2239"/>
      <c r="I9" s="2239"/>
      <c r="J9" s="2239"/>
      <c r="K9" s="2239"/>
      <c r="L9" s="2239"/>
      <c r="M9" s="2239"/>
      <c r="N9" s="2239"/>
      <c r="O9" s="2239"/>
      <c r="P9" s="2239"/>
      <c r="Q9" s="2239"/>
      <c r="R9" s="2239"/>
      <c r="S9" s="2239"/>
      <c r="T9" s="2240"/>
      <c r="U9" s="63"/>
      <c r="V9" s="63"/>
      <c r="W9" s="2238" t="s">
        <v>243</v>
      </c>
      <c r="X9" s="2239"/>
      <c r="Y9" s="2239"/>
      <c r="Z9" s="2239"/>
      <c r="AA9" s="2239"/>
      <c r="AB9" s="2239"/>
      <c r="AC9" s="2239"/>
      <c r="AD9" s="2239"/>
      <c r="AE9" s="2239"/>
      <c r="AF9" s="2239"/>
      <c r="AG9" s="2239"/>
      <c r="AH9" s="2240"/>
    </row>
    <row r="10" spans="1:34" s="13" customFormat="1" ht="12.75" customHeight="1">
      <c r="A10" s="2241" t="s">
        <v>488</v>
      </c>
      <c r="B10" s="2248" t="s">
        <v>569</v>
      </c>
      <c r="C10" s="2244" t="s">
        <v>596</v>
      </c>
      <c r="D10" s="2244"/>
      <c r="E10" s="2245"/>
      <c r="F10" s="2245"/>
      <c r="G10" s="2245"/>
      <c r="H10" s="2248" t="s">
        <v>410</v>
      </c>
      <c r="I10" s="2248" t="s">
        <v>242</v>
      </c>
      <c r="J10" s="2248" t="s">
        <v>350</v>
      </c>
      <c r="K10" s="2248" t="s">
        <v>415</v>
      </c>
      <c r="L10" s="2248" t="s">
        <v>161</v>
      </c>
      <c r="M10" s="2248" t="s">
        <v>490</v>
      </c>
      <c r="N10" s="2266"/>
      <c r="O10" s="2248" t="s">
        <v>378</v>
      </c>
      <c r="P10" s="1761" t="s">
        <v>425</v>
      </c>
      <c r="Q10" s="2248" t="s">
        <v>424</v>
      </c>
      <c r="R10" s="2261"/>
      <c r="S10" s="2261"/>
      <c r="T10" s="2262"/>
      <c r="U10" s="63"/>
      <c r="V10" s="63"/>
      <c r="W10" s="2241" t="s">
        <v>488</v>
      </c>
      <c r="X10" s="2242" t="s">
        <v>569</v>
      </c>
      <c r="Y10" s="2244" t="s">
        <v>596</v>
      </c>
      <c r="Z10" s="2244"/>
      <c r="AA10" s="2245"/>
      <c r="AB10" s="2245"/>
      <c r="AC10" s="2245"/>
      <c r="AD10" s="2248" t="s">
        <v>410</v>
      </c>
      <c r="AE10" s="2242" t="s">
        <v>242</v>
      </c>
      <c r="AF10" s="2242" t="s">
        <v>350</v>
      </c>
      <c r="AG10" s="2248" t="s">
        <v>415</v>
      </c>
      <c r="AH10" s="2251" t="s">
        <v>161</v>
      </c>
    </row>
    <row r="11" spans="1:34" s="13" customFormat="1" ht="87.75" customHeight="1" thickBot="1">
      <c r="A11" s="1758"/>
      <c r="B11" s="2267"/>
      <c r="C11" s="2246"/>
      <c r="D11" s="2246"/>
      <c r="E11" s="2247"/>
      <c r="F11" s="2247"/>
      <c r="G11" s="2247"/>
      <c r="H11" s="2249"/>
      <c r="I11" s="1762"/>
      <c r="J11" s="1762"/>
      <c r="K11" s="2249"/>
      <c r="L11" s="2249"/>
      <c r="M11" s="2249"/>
      <c r="N11" s="2249"/>
      <c r="O11" s="2249"/>
      <c r="P11" s="2265"/>
      <c r="Q11" s="2263"/>
      <c r="R11" s="2263"/>
      <c r="S11" s="2263"/>
      <c r="T11" s="2264"/>
      <c r="U11" s="63"/>
      <c r="V11" s="63"/>
      <c r="W11" s="1758"/>
      <c r="X11" s="2243"/>
      <c r="Y11" s="2246"/>
      <c r="Z11" s="2246"/>
      <c r="AA11" s="2247"/>
      <c r="AB11" s="2247"/>
      <c r="AC11" s="2247"/>
      <c r="AD11" s="2249"/>
      <c r="AE11" s="2250"/>
      <c r="AF11" s="2250"/>
      <c r="AG11" s="2249"/>
      <c r="AH11" s="2252"/>
    </row>
    <row r="12" spans="1:34" s="13" customFormat="1" ht="327" customHeight="1">
      <c r="A12" s="605">
        <f>W12</f>
        <v>1</v>
      </c>
      <c r="B12" s="606">
        <f>X12</f>
        <v>1.1000000000000001</v>
      </c>
      <c r="C12" s="2231" t="str">
        <f>Y12</f>
        <v>Young people reached by life-skill based HIV/AIDS education in schools-grade 7 and above (number and percentage)</v>
      </c>
      <c r="D12" s="2231"/>
      <c r="E12" s="2232"/>
      <c r="F12" s="2232"/>
      <c r="G12" s="2232"/>
      <c r="H12" s="1056" t="str">
        <f t="shared" ref="H12:H23" si="0">AD12</f>
        <v>GF</v>
      </c>
      <c r="I12" s="1056" t="str">
        <f t="shared" ref="I12:L22" si="1">AE12</f>
        <v>Y-over program term</v>
      </c>
      <c r="J12" s="1056" t="str">
        <f t="shared" si="1"/>
        <v>Yes - Top 10</v>
      </c>
      <c r="K12" s="1115">
        <f t="shared" si="1"/>
        <v>80100</v>
      </c>
      <c r="L12" s="1116">
        <f t="shared" si="1"/>
        <v>55829</v>
      </c>
      <c r="M12" s="2271" t="s">
        <v>758</v>
      </c>
      <c r="N12" s="2272"/>
      <c r="O12" s="1407">
        <v>55829</v>
      </c>
      <c r="P12" s="1122">
        <v>0.74</v>
      </c>
      <c r="Q12" s="2268" t="s">
        <v>1153</v>
      </c>
      <c r="R12" s="2269"/>
      <c r="S12" s="2269"/>
      <c r="T12" s="2270"/>
      <c r="U12" s="63"/>
      <c r="V12" s="63"/>
      <c r="W12" s="605">
        <f>IF('PR_Programmatic Progress_1B'!A12="","",'PR_Programmatic Progress_1B'!A12)</f>
        <v>1</v>
      </c>
      <c r="X12" s="606">
        <f>IF('PR_Programmatic Progress_1B'!B12="","",'PR_Programmatic Progress_1B'!B12)</f>
        <v>1.1000000000000001</v>
      </c>
      <c r="Y12" s="2231" t="str">
        <f>IF('PR_Programmatic Progress_1B'!C12="","",'PR_Programmatic Progress_1B'!C12)</f>
        <v>Young people reached by life-skill based HIV/AIDS education in schools-grade 7 and above (number and percentage)</v>
      </c>
      <c r="Z12" s="2231"/>
      <c r="AA12" s="2232"/>
      <c r="AB12" s="2232"/>
      <c r="AC12" s="2232"/>
      <c r="AD12" s="1056" t="str">
        <f>IF('PR_Programmatic Progress_1B'!G12="","",'PR_Programmatic Progress_1B'!G12)</f>
        <v>GF</v>
      </c>
      <c r="AE12" s="1056" t="str">
        <f>IF('PR_Programmatic Progress_1B'!H12="","",'PR_Programmatic Progress_1B'!H12)</f>
        <v>Y-over program term</v>
      </c>
      <c r="AF12" s="1056" t="str">
        <f>IF('PR_Programmatic Progress_1B'!I12="","",'PR_Programmatic Progress_1B'!I12)</f>
        <v>Yes - Top 10</v>
      </c>
      <c r="AG12" s="1056">
        <f>IF('PR_Programmatic Progress_1B'!L12="","",'PR_Programmatic Progress_1B'!L12)</f>
        <v>80100</v>
      </c>
      <c r="AH12" s="1080">
        <f>IF('PR_Programmatic Progress_1B'!M12="","",'PR_Programmatic Progress_1B'!M12)</f>
        <v>55829</v>
      </c>
    </row>
    <row r="13" spans="1:34" s="13" customFormat="1" ht="409.5" customHeight="1">
      <c r="A13" s="607">
        <f t="shared" ref="A13:A23" si="2">W13</f>
        <v>1</v>
      </c>
      <c r="B13" s="608">
        <f t="shared" ref="B13:B23" si="3">X13</f>
        <v>1.2</v>
      </c>
      <c r="C13" s="2228" t="str">
        <f t="shared" ref="C13:C23" si="4">Y13</f>
        <v>Number of teachers trained on life skill based HIV/AIDS education</v>
      </c>
      <c r="D13" s="2229"/>
      <c r="E13" s="2229"/>
      <c r="F13" s="2229"/>
      <c r="G13" s="2230"/>
      <c r="H13" s="1056" t="str">
        <f t="shared" si="0"/>
        <v>GF</v>
      </c>
      <c r="I13" s="1056" t="str">
        <f t="shared" si="1"/>
        <v>Y-over program term</v>
      </c>
      <c r="J13" s="1056" t="str">
        <f t="shared" si="1"/>
        <v>No</v>
      </c>
      <c r="K13" s="1115">
        <f t="shared" si="1"/>
        <v>729</v>
      </c>
      <c r="L13" s="1117">
        <f t="shared" ref="L13:L23" si="5">AH13</f>
        <v>578</v>
      </c>
      <c r="M13" s="2233" t="s">
        <v>758</v>
      </c>
      <c r="N13" s="2234"/>
      <c r="O13" s="1677">
        <v>395</v>
      </c>
      <c r="P13" s="1678">
        <f>O13/K13</f>
        <v>0.54183813443072704</v>
      </c>
      <c r="Q13" s="2273" t="s">
        <v>1120</v>
      </c>
      <c r="R13" s="2274"/>
      <c r="S13" s="2274"/>
      <c r="T13" s="2275"/>
      <c r="U13" s="63"/>
      <c r="V13" s="63"/>
      <c r="W13" s="607">
        <f>IF('PR_Programmatic Progress_1B'!A13="","",'PR_Programmatic Progress_1B'!A13)</f>
        <v>1</v>
      </c>
      <c r="X13" s="608">
        <f>IF('PR_Programmatic Progress_1B'!B13="","",'PR_Programmatic Progress_1B'!B13)</f>
        <v>1.2</v>
      </c>
      <c r="Y13" s="2228" t="str">
        <f>IF('PR_Programmatic Progress_1B'!C13="","",'PR_Programmatic Progress_1B'!C13)</f>
        <v>Number of teachers trained on life skill based HIV/AIDS education</v>
      </c>
      <c r="Z13" s="2229"/>
      <c r="AA13" s="2229"/>
      <c r="AB13" s="2229"/>
      <c r="AC13" s="2230"/>
      <c r="AD13" s="1056" t="str">
        <f>IF('PR_Programmatic Progress_1B'!G13="","",'PR_Programmatic Progress_1B'!G13)</f>
        <v>GF</v>
      </c>
      <c r="AE13" s="1056" t="str">
        <f>IF('PR_Programmatic Progress_1B'!H13="","",'PR_Programmatic Progress_1B'!H13)</f>
        <v>Y-over program term</v>
      </c>
      <c r="AF13" s="1056" t="str">
        <f>IF('PR_Programmatic Progress_1B'!I13="","",'PR_Programmatic Progress_1B'!I13)</f>
        <v>No</v>
      </c>
      <c r="AG13" s="1056">
        <f>IF('PR_Programmatic Progress_1B'!L13="","",'PR_Programmatic Progress_1B'!L13)</f>
        <v>729</v>
      </c>
      <c r="AH13" s="1081">
        <f>IF('PR_Programmatic Progress_1B'!M13="","",'PR_Programmatic Progress_1B'!M13)</f>
        <v>578</v>
      </c>
    </row>
    <row r="14" spans="1:34" s="13" customFormat="1" ht="273" customHeight="1">
      <c r="A14" s="607">
        <f t="shared" si="2"/>
        <v>1</v>
      </c>
      <c r="B14" s="608">
        <f t="shared" si="3"/>
        <v>1.3</v>
      </c>
      <c r="C14" s="2228" t="str">
        <f t="shared" si="4"/>
        <v>% of young people 15-24 in school who both correctly identify ways of preventing sexual transmission of HIV and who reject the major misconceptions about HIV transmission (UNGASS)</v>
      </c>
      <c r="D14" s="2229"/>
      <c r="E14" s="2229"/>
      <c r="F14" s="2229"/>
      <c r="G14" s="2230"/>
      <c r="H14" s="1056" t="str">
        <f t="shared" si="0"/>
        <v>National Program</v>
      </c>
      <c r="I14" s="1056" t="str">
        <f t="shared" si="1"/>
        <v>N-not cumulative</v>
      </c>
      <c r="J14" s="1056" t="str">
        <f t="shared" si="1"/>
        <v>Yes - Top 10</v>
      </c>
      <c r="K14" s="1115" t="str">
        <f t="shared" si="1"/>
        <v>N/A</v>
      </c>
      <c r="L14" s="1117">
        <f t="shared" si="5"/>
        <v>0</v>
      </c>
      <c r="M14" s="2233" t="s">
        <v>758</v>
      </c>
      <c r="N14" s="2234"/>
      <c r="O14" s="1056" t="s">
        <v>668</v>
      </c>
      <c r="P14" s="1123" t="s">
        <v>759</v>
      </c>
      <c r="Q14" s="2235" t="s">
        <v>757</v>
      </c>
      <c r="R14" s="2236"/>
      <c r="S14" s="2236"/>
      <c r="T14" s="2237"/>
      <c r="U14" s="63"/>
      <c r="V14" s="63"/>
      <c r="W14" s="607">
        <f>IF('PR_Programmatic Progress_1B'!A14="","",'PR_Programmatic Progress_1B'!A14)</f>
        <v>1</v>
      </c>
      <c r="X14" s="608">
        <f>IF('PR_Programmatic Progress_1B'!B14="","",'PR_Programmatic Progress_1B'!B14)</f>
        <v>1.3</v>
      </c>
      <c r="Y14" s="2228" t="str">
        <f>IF('PR_Programmatic Progress_1B'!C14="","",'PR_Programmatic Progress_1B'!C14)</f>
        <v>% of young people 15-24 in school who both correctly identify ways of preventing sexual transmission of HIV and who reject the major misconceptions about HIV transmission (UNGASS)</v>
      </c>
      <c r="Z14" s="2229"/>
      <c r="AA14" s="2229"/>
      <c r="AB14" s="2229"/>
      <c r="AC14" s="2230"/>
      <c r="AD14" s="1056" t="str">
        <f>IF('PR_Programmatic Progress_1B'!G14="","",'PR_Programmatic Progress_1B'!G14)</f>
        <v>National Program</v>
      </c>
      <c r="AE14" s="1056" t="str">
        <f>IF('PR_Programmatic Progress_1B'!H14="","",'PR_Programmatic Progress_1B'!H14)</f>
        <v>N-not cumulative</v>
      </c>
      <c r="AF14" s="1056" t="str">
        <f>IF('PR_Programmatic Progress_1B'!I14="","",'PR_Programmatic Progress_1B'!I14)</f>
        <v>Yes - Top 10</v>
      </c>
      <c r="AG14" s="1056" t="str">
        <f>IF('PR_Programmatic Progress_1B'!L14="","",'PR_Programmatic Progress_1B'!L14)</f>
        <v>N/A</v>
      </c>
      <c r="AH14" s="1081">
        <f>IF('PR_Programmatic Progress_1B'!M14="","",'PR_Programmatic Progress_1B'!M14)</f>
        <v>0</v>
      </c>
    </row>
    <row r="15" spans="1:34" s="13" customFormat="1" ht="409.5" customHeight="1">
      <c r="A15" s="607">
        <f t="shared" si="2"/>
        <v>1</v>
      </c>
      <c r="B15" s="608">
        <f t="shared" si="3"/>
        <v>1.4</v>
      </c>
      <c r="C15" s="2228" t="str">
        <f t="shared" si="4"/>
        <v xml:space="preserve">People reached by HIV/AIDS education in out-of-school settings  </v>
      </c>
      <c r="D15" s="2229"/>
      <c r="E15" s="2229"/>
      <c r="F15" s="2229"/>
      <c r="G15" s="2230"/>
      <c r="H15" s="1056" t="str">
        <f t="shared" si="0"/>
        <v>GF</v>
      </c>
      <c r="I15" s="1056" t="str">
        <f t="shared" si="1"/>
        <v>Y-over program term</v>
      </c>
      <c r="J15" s="1056" t="str">
        <f t="shared" si="1"/>
        <v>Yes - Top 10</v>
      </c>
      <c r="K15" s="1115">
        <f t="shared" si="1"/>
        <v>22850</v>
      </c>
      <c r="L15" s="1117">
        <f t="shared" si="5"/>
        <v>23365</v>
      </c>
      <c r="M15" s="2233" t="s">
        <v>758</v>
      </c>
      <c r="N15" s="2234"/>
      <c r="O15" s="1072">
        <v>22846</v>
      </c>
      <c r="P15" s="1123">
        <v>1.05</v>
      </c>
      <c r="Q15" s="2235" t="s">
        <v>760</v>
      </c>
      <c r="R15" s="2236"/>
      <c r="S15" s="2236"/>
      <c r="T15" s="2237"/>
      <c r="U15" s="63"/>
      <c r="V15" s="63"/>
      <c r="W15" s="607">
        <f>IF('PR_Programmatic Progress_1B'!A15="","",'PR_Programmatic Progress_1B'!A15)</f>
        <v>1</v>
      </c>
      <c r="X15" s="608">
        <f>IF('PR_Programmatic Progress_1B'!B15="","",'PR_Programmatic Progress_1B'!B15)</f>
        <v>1.4</v>
      </c>
      <c r="Y15" s="2228" t="str">
        <f>IF('PR_Programmatic Progress_1B'!C15="","",'PR_Programmatic Progress_1B'!C15)</f>
        <v xml:space="preserve">People reached by HIV/AIDS education in out-of-school settings  </v>
      </c>
      <c r="Z15" s="2229"/>
      <c r="AA15" s="2229"/>
      <c r="AB15" s="2229"/>
      <c r="AC15" s="2230"/>
      <c r="AD15" s="1056" t="str">
        <f>IF('PR_Programmatic Progress_1B'!G15="","",'PR_Programmatic Progress_1B'!G15)</f>
        <v>GF</v>
      </c>
      <c r="AE15" s="1056" t="str">
        <f>IF('PR_Programmatic Progress_1B'!H15="","",'PR_Programmatic Progress_1B'!H15)</f>
        <v>Y-over program term</v>
      </c>
      <c r="AF15" s="1056" t="str">
        <f>IF('PR_Programmatic Progress_1B'!I15="","",'PR_Programmatic Progress_1B'!I15)</f>
        <v>Yes - Top 10</v>
      </c>
      <c r="AG15" s="1056">
        <f>IF('PR_Programmatic Progress_1B'!L15="","",'PR_Programmatic Progress_1B'!L15)</f>
        <v>22850</v>
      </c>
      <c r="AH15" s="1081">
        <f>IF('PR_Programmatic Progress_1B'!M15="","",'PR_Programmatic Progress_1B'!M15)</f>
        <v>23365</v>
      </c>
    </row>
    <row r="16" spans="1:34" s="13" customFormat="1" ht="307.5" customHeight="1">
      <c r="A16" s="607">
        <f t="shared" si="2"/>
        <v>1</v>
      </c>
      <c r="B16" s="608">
        <f t="shared" si="3"/>
        <v>1.5</v>
      </c>
      <c r="C16" s="2228" t="str">
        <f t="shared" si="4"/>
        <v>Non Formal Education Instructors trained to provide HIV out-of-school education</v>
      </c>
      <c r="D16" s="2229"/>
      <c r="E16" s="2229"/>
      <c r="F16" s="2229"/>
      <c r="G16" s="2230"/>
      <c r="H16" s="1056" t="str">
        <f t="shared" si="0"/>
        <v>GF</v>
      </c>
      <c r="I16" s="1056" t="str">
        <f t="shared" si="1"/>
        <v>Y-over program term</v>
      </c>
      <c r="J16" s="1056" t="str">
        <f t="shared" si="1"/>
        <v>Yes - Top 10</v>
      </c>
      <c r="K16" s="1115">
        <f t="shared" si="1"/>
        <v>897</v>
      </c>
      <c r="L16" s="1117">
        <f t="shared" si="5"/>
        <v>816</v>
      </c>
      <c r="M16" s="2233" t="s">
        <v>758</v>
      </c>
      <c r="N16" s="2234"/>
      <c r="O16" s="1056">
        <v>816</v>
      </c>
      <c r="P16" s="1123">
        <v>0.92</v>
      </c>
      <c r="Q16" s="2235" t="s">
        <v>761</v>
      </c>
      <c r="R16" s="2236"/>
      <c r="S16" s="2236"/>
      <c r="T16" s="2237"/>
      <c r="U16" s="63"/>
      <c r="V16" s="63"/>
      <c r="W16" s="607">
        <f>IF('PR_Programmatic Progress_1B'!A16="","",'PR_Programmatic Progress_1B'!A16)</f>
        <v>1</v>
      </c>
      <c r="X16" s="608">
        <f>IF('PR_Programmatic Progress_1B'!B16="","",'PR_Programmatic Progress_1B'!B16)</f>
        <v>1.5</v>
      </c>
      <c r="Y16" s="2228" t="str">
        <f>IF('PR_Programmatic Progress_1B'!C16="","",'PR_Programmatic Progress_1B'!C16)</f>
        <v>Non Formal Education Instructors trained to provide HIV out-of-school education</v>
      </c>
      <c r="Z16" s="2229"/>
      <c r="AA16" s="2229"/>
      <c r="AB16" s="2229"/>
      <c r="AC16" s="2230"/>
      <c r="AD16" s="1056" t="str">
        <f>IF('PR_Programmatic Progress_1B'!G16="","",'PR_Programmatic Progress_1B'!G16)</f>
        <v>GF</v>
      </c>
      <c r="AE16" s="1056" t="str">
        <f>IF('PR_Programmatic Progress_1B'!H16="","",'PR_Programmatic Progress_1B'!H16)</f>
        <v>Y-over program term</v>
      </c>
      <c r="AF16" s="1056" t="str">
        <f>IF('PR_Programmatic Progress_1B'!I16="","",'PR_Programmatic Progress_1B'!I16)</f>
        <v>Yes - Top 10</v>
      </c>
      <c r="AG16" s="1056">
        <f>IF('PR_Programmatic Progress_1B'!L16="","",'PR_Programmatic Progress_1B'!L16)</f>
        <v>897</v>
      </c>
      <c r="AH16" s="1081">
        <f>IF('PR_Programmatic Progress_1B'!M16="","",'PR_Programmatic Progress_1B'!M16)</f>
        <v>816</v>
      </c>
    </row>
    <row r="17" spans="1:34" s="13" customFormat="1" ht="321.75" customHeight="1">
      <c r="A17" s="607">
        <f t="shared" si="2"/>
        <v>1</v>
      </c>
      <c r="B17" s="608">
        <f t="shared" si="3"/>
        <v>1.6</v>
      </c>
      <c r="C17" s="2228" t="str">
        <f t="shared" si="4"/>
        <v xml:space="preserve">Number of Transport workers reached with HIV education </v>
      </c>
      <c r="D17" s="2229"/>
      <c r="E17" s="2229"/>
      <c r="F17" s="2229"/>
      <c r="G17" s="2230"/>
      <c r="H17" s="1056" t="str">
        <f t="shared" si="0"/>
        <v>GF and other donors</v>
      </c>
      <c r="I17" s="1056" t="str">
        <f t="shared" si="1"/>
        <v>Y-over program term</v>
      </c>
      <c r="J17" s="1056" t="str">
        <f t="shared" si="1"/>
        <v>Yes - Top 10</v>
      </c>
      <c r="K17" s="1115">
        <f t="shared" ref="K17:K23" si="6">AG17</f>
        <v>1480</v>
      </c>
      <c r="L17" s="1117">
        <f t="shared" si="5"/>
        <v>1542</v>
      </c>
      <c r="M17" s="2233" t="s">
        <v>758</v>
      </c>
      <c r="N17" s="2234"/>
      <c r="O17" s="1072">
        <v>1442</v>
      </c>
      <c r="P17" s="1123">
        <v>1.34</v>
      </c>
      <c r="Q17" s="2235" t="s">
        <v>762</v>
      </c>
      <c r="R17" s="2236"/>
      <c r="S17" s="2236"/>
      <c r="T17" s="2237"/>
      <c r="U17" s="63"/>
      <c r="V17" s="63"/>
      <c r="W17" s="607">
        <f>IF('PR_Programmatic Progress_1B'!A17="","",'PR_Programmatic Progress_1B'!A17)</f>
        <v>1</v>
      </c>
      <c r="X17" s="608">
        <f>IF('PR_Programmatic Progress_1B'!B17="","",'PR_Programmatic Progress_1B'!B17)</f>
        <v>1.6</v>
      </c>
      <c r="Y17" s="2228" t="str">
        <f>IF('PR_Programmatic Progress_1B'!C17="","",'PR_Programmatic Progress_1B'!C17)</f>
        <v xml:space="preserve">Number of Transport workers reached with HIV education </v>
      </c>
      <c r="Z17" s="2229"/>
      <c r="AA17" s="2229"/>
      <c r="AB17" s="2229"/>
      <c r="AC17" s="2230"/>
      <c r="AD17" s="1056" t="str">
        <f>IF('PR_Programmatic Progress_1B'!G17="","",'PR_Programmatic Progress_1B'!G17)</f>
        <v>GF and other donors</v>
      </c>
      <c r="AE17" s="1056" t="str">
        <f>IF('PR_Programmatic Progress_1B'!H17="","",'PR_Programmatic Progress_1B'!H17)</f>
        <v>Y-over program term</v>
      </c>
      <c r="AF17" s="1056" t="str">
        <f>IF('PR_Programmatic Progress_1B'!I17="","",'PR_Programmatic Progress_1B'!I17)</f>
        <v>Yes - Top 10</v>
      </c>
      <c r="AG17" s="1056">
        <f>IF('PR_Programmatic Progress_1B'!L17="","",'PR_Programmatic Progress_1B'!L17)</f>
        <v>1480</v>
      </c>
      <c r="AH17" s="1081">
        <f>IF('PR_Programmatic Progress_1B'!M17="","",'PR_Programmatic Progress_1B'!M17)</f>
        <v>1542</v>
      </c>
    </row>
    <row r="18" spans="1:34" s="13" customFormat="1" ht="339" customHeight="1">
      <c r="A18" s="607">
        <f t="shared" si="2"/>
        <v>1</v>
      </c>
      <c r="B18" s="608">
        <f t="shared" si="3"/>
        <v>1.7</v>
      </c>
      <c r="C18" s="2228" t="str">
        <f t="shared" si="4"/>
        <v>Number of Most at Risk individuals reached with  HIV education materials (primary substance users and sex workers)</v>
      </c>
      <c r="D18" s="2229"/>
      <c r="E18" s="2229"/>
      <c r="F18" s="2229"/>
      <c r="G18" s="2230"/>
      <c r="H18" s="1056" t="str">
        <f t="shared" si="0"/>
        <v>GF and other donors</v>
      </c>
      <c r="I18" s="1056" t="str">
        <f t="shared" si="1"/>
        <v>Y-over program term</v>
      </c>
      <c r="J18" s="1056" t="str">
        <f t="shared" si="1"/>
        <v>No</v>
      </c>
      <c r="K18" s="1115">
        <f t="shared" si="6"/>
        <v>300</v>
      </c>
      <c r="L18" s="1117">
        <f t="shared" si="5"/>
        <v>163</v>
      </c>
      <c r="M18" s="2233" t="s">
        <v>758</v>
      </c>
      <c r="N18" s="2234"/>
      <c r="O18" s="1056">
        <v>142</v>
      </c>
      <c r="P18" s="1123">
        <v>0.56999999999999995</v>
      </c>
      <c r="Q18" s="2235" t="s">
        <v>763</v>
      </c>
      <c r="R18" s="2236"/>
      <c r="S18" s="2236"/>
      <c r="T18" s="2237"/>
      <c r="U18" s="63"/>
      <c r="V18" s="63"/>
      <c r="W18" s="607">
        <f>IF('PR_Programmatic Progress_1B'!A18="","",'PR_Programmatic Progress_1B'!A18)</f>
        <v>1</v>
      </c>
      <c r="X18" s="608">
        <f>IF('PR_Programmatic Progress_1B'!B18="","",'PR_Programmatic Progress_1B'!B18)</f>
        <v>1.7</v>
      </c>
      <c r="Y18" s="2228" t="str">
        <f>IF('PR_Programmatic Progress_1B'!C18="","",'PR_Programmatic Progress_1B'!C18)</f>
        <v>Number of Most at Risk individuals reached with  HIV education materials (primary substance users and sex workers)</v>
      </c>
      <c r="Z18" s="2229"/>
      <c r="AA18" s="2229"/>
      <c r="AB18" s="2229"/>
      <c r="AC18" s="2230"/>
      <c r="AD18" s="1056" t="str">
        <f>IF('PR_Programmatic Progress_1B'!G18="","",'PR_Programmatic Progress_1B'!G18)</f>
        <v>GF and other donors</v>
      </c>
      <c r="AE18" s="1056" t="str">
        <f>IF('PR_Programmatic Progress_1B'!H18="","",'PR_Programmatic Progress_1B'!H18)</f>
        <v>Y-over program term</v>
      </c>
      <c r="AF18" s="1056" t="str">
        <f>IF('PR_Programmatic Progress_1B'!I18="","",'PR_Programmatic Progress_1B'!I18)</f>
        <v>No</v>
      </c>
      <c r="AG18" s="1056">
        <f>IF('PR_Programmatic Progress_1B'!L18="","",'PR_Programmatic Progress_1B'!L18)</f>
        <v>300</v>
      </c>
      <c r="AH18" s="1081">
        <f>IF('PR_Programmatic Progress_1B'!M18="","",'PR_Programmatic Progress_1B'!M18)</f>
        <v>163</v>
      </c>
    </row>
    <row r="19" spans="1:34" s="13" customFormat="1" ht="328.5" customHeight="1">
      <c r="A19" s="607">
        <f t="shared" si="2"/>
        <v>1</v>
      </c>
      <c r="B19" s="608">
        <f t="shared" si="3"/>
        <v>1.8</v>
      </c>
      <c r="C19" s="2228" t="str">
        <f t="shared" si="4"/>
        <v>Number of uniformed personnel and their families participating in HIV Awareness workshops</v>
      </c>
      <c r="D19" s="2229"/>
      <c r="E19" s="2229"/>
      <c r="F19" s="2229"/>
      <c r="G19" s="2230"/>
      <c r="H19" s="1056" t="str">
        <f t="shared" si="0"/>
        <v>GF and other donors</v>
      </c>
      <c r="I19" s="1056" t="str">
        <f t="shared" si="1"/>
        <v>Y-over program term</v>
      </c>
      <c r="J19" s="1056" t="str">
        <f t="shared" si="1"/>
        <v>Yes - Top 10</v>
      </c>
      <c r="K19" s="1115">
        <f t="shared" si="6"/>
        <v>19000</v>
      </c>
      <c r="L19" s="1117">
        <f t="shared" si="5"/>
        <v>17488</v>
      </c>
      <c r="M19" s="2233" t="s">
        <v>758</v>
      </c>
      <c r="N19" s="2234"/>
      <c r="O19" s="1072">
        <v>17461</v>
      </c>
      <c r="P19" s="1123">
        <v>1.03</v>
      </c>
      <c r="Q19" s="2235" t="s">
        <v>764</v>
      </c>
      <c r="R19" s="2236"/>
      <c r="S19" s="2236"/>
      <c r="T19" s="2237"/>
      <c r="U19" s="63"/>
      <c r="V19" s="63"/>
      <c r="W19" s="607">
        <f>IF('PR_Programmatic Progress_1B'!A19="","",'PR_Programmatic Progress_1B'!A19)</f>
        <v>1</v>
      </c>
      <c r="X19" s="608">
        <f>IF('PR_Programmatic Progress_1B'!B19="","",'PR_Programmatic Progress_1B'!B19)</f>
        <v>1.8</v>
      </c>
      <c r="Y19" s="2228" t="str">
        <f>IF('PR_Programmatic Progress_1B'!C19="","",'PR_Programmatic Progress_1B'!C19)</f>
        <v>Number of uniformed personnel and their families participating in HIV Awareness workshops</v>
      </c>
      <c r="Z19" s="2229"/>
      <c r="AA19" s="2229"/>
      <c r="AB19" s="2229"/>
      <c r="AC19" s="2230"/>
      <c r="AD19" s="1056" t="str">
        <f>IF('PR_Programmatic Progress_1B'!G19="","",'PR_Programmatic Progress_1B'!G19)</f>
        <v>GF and other donors</v>
      </c>
      <c r="AE19" s="1056" t="str">
        <f>IF('PR_Programmatic Progress_1B'!H19="","",'PR_Programmatic Progress_1B'!H19)</f>
        <v>Y-over program term</v>
      </c>
      <c r="AF19" s="1056" t="str">
        <f>IF('PR_Programmatic Progress_1B'!I19="","",'PR_Programmatic Progress_1B'!I19)</f>
        <v>Yes - Top 10</v>
      </c>
      <c r="AG19" s="1056">
        <f>IF('PR_Programmatic Progress_1B'!L19="","",'PR_Programmatic Progress_1B'!L19)</f>
        <v>19000</v>
      </c>
      <c r="AH19" s="1081">
        <f>IF('PR_Programmatic Progress_1B'!M19="","",'PR_Programmatic Progress_1B'!M19)</f>
        <v>17488</v>
      </c>
    </row>
    <row r="20" spans="1:34" s="13" customFormat="1" ht="335.25" customHeight="1">
      <c r="A20" s="607">
        <f t="shared" si="2"/>
        <v>1</v>
      </c>
      <c r="B20" s="608">
        <f t="shared" si="3"/>
        <v>1.9</v>
      </c>
      <c r="C20" s="2228" t="str">
        <f t="shared" si="4"/>
        <v>Number of monks, nuns and members of non-formal religious groups reached by HIV/AIDS education</v>
      </c>
      <c r="D20" s="2229"/>
      <c r="E20" s="2229"/>
      <c r="F20" s="2229"/>
      <c r="G20" s="2230"/>
      <c r="H20" s="1056" t="str">
        <f t="shared" si="0"/>
        <v>GF and other donors</v>
      </c>
      <c r="I20" s="1056" t="str">
        <f t="shared" si="1"/>
        <v>Y-over program term</v>
      </c>
      <c r="J20" s="1056" t="str">
        <f t="shared" si="1"/>
        <v>Yes - Top 10</v>
      </c>
      <c r="K20" s="1115">
        <f t="shared" si="6"/>
        <v>8000</v>
      </c>
      <c r="L20" s="1117">
        <f t="shared" si="5"/>
        <v>6654</v>
      </c>
      <c r="M20" s="2233" t="s">
        <v>765</v>
      </c>
      <c r="N20" s="2234"/>
      <c r="O20" s="1072">
        <v>6434</v>
      </c>
      <c r="P20" s="1123">
        <v>0.86</v>
      </c>
      <c r="Q20" s="2235" t="s">
        <v>766</v>
      </c>
      <c r="R20" s="2236"/>
      <c r="S20" s="2236"/>
      <c r="T20" s="2237"/>
      <c r="U20" s="63"/>
      <c r="V20" s="63"/>
      <c r="W20" s="607">
        <f>IF('PR_Programmatic Progress_1B'!A20="","",'PR_Programmatic Progress_1B'!A20)</f>
        <v>1</v>
      </c>
      <c r="X20" s="608">
        <f>IF('PR_Programmatic Progress_1B'!B20="","",'PR_Programmatic Progress_1B'!B20)</f>
        <v>1.9</v>
      </c>
      <c r="Y20" s="2228" t="str">
        <f>IF('PR_Programmatic Progress_1B'!C20="","",'PR_Programmatic Progress_1B'!C20)</f>
        <v>Number of monks, nuns and members of non-formal religious groups reached by HIV/AIDS education</v>
      </c>
      <c r="Z20" s="2229"/>
      <c r="AA20" s="2229"/>
      <c r="AB20" s="2229"/>
      <c r="AC20" s="2230"/>
      <c r="AD20" s="1056" t="str">
        <f>IF('PR_Programmatic Progress_1B'!G20="","",'PR_Programmatic Progress_1B'!G20)</f>
        <v>GF and other donors</v>
      </c>
      <c r="AE20" s="1056" t="str">
        <f>IF('PR_Programmatic Progress_1B'!H20="","",'PR_Programmatic Progress_1B'!H20)</f>
        <v>Y-over program term</v>
      </c>
      <c r="AF20" s="1056" t="str">
        <f>IF('PR_Programmatic Progress_1B'!I20="","",'PR_Programmatic Progress_1B'!I20)</f>
        <v>Yes - Top 10</v>
      </c>
      <c r="AG20" s="1056">
        <f>IF('PR_Programmatic Progress_1B'!L20="","",'PR_Programmatic Progress_1B'!L20)</f>
        <v>8000</v>
      </c>
      <c r="AH20" s="1081">
        <f>IF('PR_Programmatic Progress_1B'!M20="","",'PR_Programmatic Progress_1B'!M20)</f>
        <v>6654</v>
      </c>
    </row>
    <row r="21" spans="1:34" s="13" customFormat="1" ht="357.75" customHeight="1">
      <c r="A21" s="607">
        <f t="shared" si="2"/>
        <v>2</v>
      </c>
      <c r="B21" s="608">
        <f t="shared" si="3"/>
        <v>2.2000000000000002</v>
      </c>
      <c r="C21" s="2228" t="str">
        <f t="shared" si="4"/>
        <v>Number of persons counseled and tested including provision of results</v>
      </c>
      <c r="D21" s="2229"/>
      <c r="E21" s="2229"/>
      <c r="F21" s="2229"/>
      <c r="G21" s="2230"/>
      <c r="H21" s="1056" t="str">
        <f t="shared" si="0"/>
        <v>GF and other donors</v>
      </c>
      <c r="I21" s="1056" t="str">
        <f t="shared" si="1"/>
        <v>Y-over program term</v>
      </c>
      <c r="J21" s="1056" t="str">
        <f t="shared" si="1"/>
        <v>Yes - Top 10</v>
      </c>
      <c r="K21" s="1115">
        <f t="shared" si="6"/>
        <v>28800</v>
      </c>
      <c r="L21" s="1117">
        <f t="shared" si="5"/>
        <v>42313</v>
      </c>
      <c r="M21" s="2233" t="s">
        <v>758</v>
      </c>
      <c r="N21" s="2234"/>
      <c r="O21" s="1072">
        <v>42230</v>
      </c>
      <c r="P21" s="1123">
        <v>1.49</v>
      </c>
      <c r="Q21" s="2235" t="s">
        <v>773</v>
      </c>
      <c r="R21" s="2236"/>
      <c r="S21" s="2236"/>
      <c r="T21" s="2237"/>
      <c r="U21" s="63"/>
      <c r="V21" s="63"/>
      <c r="W21" s="607">
        <f>IF('PR_Programmatic Progress_1B'!A21="","",'PR_Programmatic Progress_1B'!A21)</f>
        <v>2</v>
      </c>
      <c r="X21" s="608">
        <f>IF('PR_Programmatic Progress_1B'!B21="","",'PR_Programmatic Progress_1B'!B21)</f>
        <v>2.2000000000000002</v>
      </c>
      <c r="Y21" s="2228" t="str">
        <f>IF('PR_Programmatic Progress_1B'!C21="","",'PR_Programmatic Progress_1B'!C21)</f>
        <v>Number of persons counseled and tested including provision of results</v>
      </c>
      <c r="Z21" s="2229"/>
      <c r="AA21" s="2229"/>
      <c r="AB21" s="2229"/>
      <c r="AC21" s="2230"/>
      <c r="AD21" s="1056" t="str">
        <f>IF('PR_Programmatic Progress_1B'!G21="","",'PR_Programmatic Progress_1B'!G21)</f>
        <v>GF and other donors</v>
      </c>
      <c r="AE21" s="1056" t="str">
        <f>IF('PR_Programmatic Progress_1B'!H21="","",'PR_Programmatic Progress_1B'!H21)</f>
        <v>Y-over program term</v>
      </c>
      <c r="AF21" s="1056" t="str">
        <f>IF('PR_Programmatic Progress_1B'!I21="","",'PR_Programmatic Progress_1B'!I21)</f>
        <v>Yes - Top 10</v>
      </c>
      <c r="AG21" s="1056">
        <f>IF('PR_Programmatic Progress_1B'!L21="","",'PR_Programmatic Progress_1B'!L21)</f>
        <v>28800</v>
      </c>
      <c r="AH21" s="1081">
        <f>IF('PR_Programmatic Progress_1B'!M21="","",'PR_Programmatic Progress_1B'!M21)</f>
        <v>42313</v>
      </c>
    </row>
    <row r="22" spans="1:34" s="13" customFormat="1" ht="352.5" customHeight="1">
      <c r="A22" s="607">
        <f t="shared" si="2"/>
        <v>2</v>
      </c>
      <c r="B22" s="608">
        <f t="shared" si="3"/>
        <v>2.2999999999999998</v>
      </c>
      <c r="C22" s="2228" t="str">
        <f t="shared" si="4"/>
        <v>Number of people with advanced HIV infection receiving antiretroviral treatment</v>
      </c>
      <c r="D22" s="2229"/>
      <c r="E22" s="2229"/>
      <c r="F22" s="2229"/>
      <c r="G22" s="2230"/>
      <c r="H22" s="1056" t="str">
        <f t="shared" si="0"/>
        <v>GF and other donors</v>
      </c>
      <c r="I22" s="1056" t="str">
        <f t="shared" si="1"/>
        <v>N-not cumulative</v>
      </c>
      <c r="J22" s="1056" t="str">
        <f t="shared" si="1"/>
        <v>Yes - Top 10</v>
      </c>
      <c r="K22" s="1115">
        <f t="shared" si="6"/>
        <v>90</v>
      </c>
      <c r="L22" s="1117">
        <f t="shared" si="5"/>
        <v>70</v>
      </c>
      <c r="M22" s="2233" t="s">
        <v>758</v>
      </c>
      <c r="N22" s="2234"/>
      <c r="O22" s="1056">
        <v>63</v>
      </c>
      <c r="P22" s="1123">
        <v>0.74</v>
      </c>
      <c r="Q22" s="2235" t="s">
        <v>767</v>
      </c>
      <c r="R22" s="2236"/>
      <c r="S22" s="2236"/>
      <c r="T22" s="2237"/>
      <c r="U22" s="63"/>
      <c r="V22" s="63"/>
      <c r="W22" s="607">
        <f>IF('PR_Programmatic Progress_1B'!A22="","",'PR_Programmatic Progress_1B'!A22)</f>
        <v>2</v>
      </c>
      <c r="X22" s="608">
        <f>IF('PR_Programmatic Progress_1B'!B22="","",'PR_Programmatic Progress_1B'!B22)</f>
        <v>2.2999999999999998</v>
      </c>
      <c r="Y22" s="2228" t="str">
        <f>IF('PR_Programmatic Progress_1B'!C22="","",'PR_Programmatic Progress_1B'!C22)</f>
        <v>Number of people with advanced HIV infection receiving antiretroviral treatment</v>
      </c>
      <c r="Z22" s="2229"/>
      <c r="AA22" s="2229"/>
      <c r="AB22" s="2229"/>
      <c r="AC22" s="2230"/>
      <c r="AD22" s="1056" t="str">
        <f>IF('PR_Programmatic Progress_1B'!G22="","",'PR_Programmatic Progress_1B'!G22)</f>
        <v>GF and other donors</v>
      </c>
      <c r="AE22" s="1056" t="str">
        <f>IF('PR_Programmatic Progress_1B'!H22="","",'PR_Programmatic Progress_1B'!H22)</f>
        <v>N-not cumulative</v>
      </c>
      <c r="AF22" s="1056" t="str">
        <f>IF('PR_Programmatic Progress_1B'!I22="","",'PR_Programmatic Progress_1B'!I22)</f>
        <v>Yes - Top 10</v>
      </c>
      <c r="AG22" s="1056">
        <f>IF('PR_Programmatic Progress_1B'!L22="","",'PR_Programmatic Progress_1B'!L22)</f>
        <v>90</v>
      </c>
      <c r="AH22" s="1081">
        <f>IF('PR_Programmatic Progress_1B'!M22="","",'PR_Programmatic Progress_1B'!M22)</f>
        <v>70</v>
      </c>
    </row>
    <row r="23" spans="1:34" s="13" customFormat="1" ht="69" customHeight="1">
      <c r="A23" s="607" t="str">
        <f t="shared" si="2"/>
        <v/>
      </c>
      <c r="B23" s="608" t="str">
        <f t="shared" si="3"/>
        <v/>
      </c>
      <c r="C23" s="2228" t="str">
        <f t="shared" si="4"/>
        <v/>
      </c>
      <c r="D23" s="2229"/>
      <c r="E23" s="2229"/>
      <c r="F23" s="2229"/>
      <c r="G23" s="2230"/>
      <c r="H23" s="1056" t="str">
        <f t="shared" si="0"/>
        <v>Select</v>
      </c>
      <c r="I23" s="1056" t="str">
        <f>AE23</f>
        <v>Select</v>
      </c>
      <c r="J23" s="1056" t="str">
        <f>AF23</f>
        <v>Select</v>
      </c>
      <c r="K23" s="1115" t="str">
        <f t="shared" si="6"/>
        <v>-</v>
      </c>
      <c r="L23" s="1117" t="str">
        <f t="shared" si="5"/>
        <v>-</v>
      </c>
      <c r="M23" s="2233"/>
      <c r="N23" s="2234"/>
      <c r="O23" s="1056"/>
      <c r="P23" s="1123"/>
      <c r="Q23" s="2235"/>
      <c r="R23" s="2236"/>
      <c r="S23" s="2236"/>
      <c r="T23" s="2237"/>
      <c r="U23" s="63"/>
      <c r="V23" s="63"/>
      <c r="W23" s="607" t="str">
        <f>IF('PR_Programmatic Progress_1B'!A31="","",'PR_Programmatic Progress_1B'!A31)</f>
        <v/>
      </c>
      <c r="X23" s="608" t="str">
        <f>IF('PR_Programmatic Progress_1B'!B31="","",'PR_Programmatic Progress_1B'!B31)</f>
        <v/>
      </c>
      <c r="Y23" s="2228" t="str">
        <f>IF('PR_Programmatic Progress_1B'!C31="","",'PR_Programmatic Progress_1B'!C31)</f>
        <v/>
      </c>
      <c r="Z23" s="2229"/>
      <c r="AA23" s="2229"/>
      <c r="AB23" s="2229"/>
      <c r="AC23" s="2230"/>
      <c r="AD23" s="1056" t="str">
        <f>IF('PR_Programmatic Progress_1B'!G31="","",'PR_Programmatic Progress_1B'!G31)</f>
        <v>Select</v>
      </c>
      <c r="AE23" s="1056" t="str">
        <f>IF('PR_Programmatic Progress_1B'!H31="","",'PR_Programmatic Progress_1B'!H31)</f>
        <v>Select</v>
      </c>
      <c r="AF23" s="1056" t="str">
        <f>IF('PR_Programmatic Progress_1B'!I31="","",'PR_Programmatic Progress_1B'!I31)</f>
        <v>Select</v>
      </c>
      <c r="AG23" s="1056" t="str">
        <f>IF('PR_Programmatic Progress_1B'!L31="","",'PR_Programmatic Progress_1B'!L31)</f>
        <v>-</v>
      </c>
      <c r="AH23" s="1081" t="str">
        <f>IF('PR_Programmatic Progress_1B'!M31="","",'PR_Programmatic Progress_1B'!M31)</f>
        <v>-</v>
      </c>
    </row>
    <row r="24" spans="1:34">
      <c r="I24" s="609"/>
    </row>
    <row r="25" spans="1:34" ht="52.5" customHeight="1" thickBot="1">
      <c r="A25" s="2285" t="s">
        <v>426</v>
      </c>
      <c r="B25" s="2286"/>
      <c r="C25" s="2286"/>
      <c r="D25" s="2286"/>
      <c r="E25" s="2286"/>
      <c r="F25" s="2286"/>
      <c r="G25" s="2286"/>
      <c r="H25" s="2286"/>
      <c r="I25" s="2286"/>
      <c r="J25" s="2286"/>
      <c r="K25" s="2286"/>
      <c r="L25" s="2286"/>
      <c r="M25" s="2286"/>
      <c r="N25" s="2286"/>
      <c r="O25" s="2286"/>
      <c r="P25" s="2286"/>
      <c r="Q25" s="2286"/>
      <c r="R25" s="2286"/>
      <c r="S25" s="2286"/>
      <c r="T25" s="2286"/>
    </row>
    <row r="26" spans="1:34">
      <c r="A26" s="2276" t="s">
        <v>1154</v>
      </c>
      <c r="B26" s="2277"/>
      <c r="C26" s="2277"/>
      <c r="D26" s="2277"/>
      <c r="E26" s="2277"/>
      <c r="F26" s="2277"/>
      <c r="G26" s="2277"/>
      <c r="H26" s="2277"/>
      <c r="I26" s="2277"/>
      <c r="J26" s="2277"/>
      <c r="K26" s="2277"/>
      <c r="L26" s="2277"/>
      <c r="M26" s="2277"/>
      <c r="N26" s="2277"/>
      <c r="O26" s="2277"/>
      <c r="P26" s="2277"/>
      <c r="Q26" s="2277"/>
      <c r="R26" s="2277"/>
      <c r="S26" s="2277"/>
      <c r="T26" s="2278"/>
    </row>
    <row r="27" spans="1:34">
      <c r="A27" s="2279"/>
      <c r="B27" s="2280"/>
      <c r="C27" s="2280"/>
      <c r="D27" s="2280"/>
      <c r="E27" s="2280"/>
      <c r="F27" s="2280"/>
      <c r="G27" s="2280"/>
      <c r="H27" s="2280"/>
      <c r="I27" s="2280"/>
      <c r="J27" s="2280"/>
      <c r="K27" s="2280"/>
      <c r="L27" s="2280"/>
      <c r="M27" s="2280"/>
      <c r="N27" s="2280"/>
      <c r="O27" s="2280"/>
      <c r="P27" s="2280"/>
      <c r="Q27" s="2280"/>
      <c r="R27" s="2280"/>
      <c r="S27" s="2280"/>
      <c r="T27" s="2281"/>
    </row>
    <row r="28" spans="1:34" ht="20.25" customHeight="1">
      <c r="A28" s="2279"/>
      <c r="B28" s="2280"/>
      <c r="C28" s="2280"/>
      <c r="D28" s="2280"/>
      <c r="E28" s="2280"/>
      <c r="F28" s="2280"/>
      <c r="G28" s="2280"/>
      <c r="H28" s="2280"/>
      <c r="I28" s="2280"/>
      <c r="J28" s="2280"/>
      <c r="K28" s="2280"/>
      <c r="L28" s="2280"/>
      <c r="M28" s="2280"/>
      <c r="N28" s="2280"/>
      <c r="O28" s="2280"/>
      <c r="P28" s="2280"/>
      <c r="Q28" s="2280"/>
      <c r="R28" s="2280"/>
      <c r="S28" s="2280"/>
      <c r="T28" s="2281"/>
    </row>
    <row r="29" spans="1:34">
      <c r="A29" s="2279"/>
      <c r="B29" s="2280"/>
      <c r="C29" s="2280"/>
      <c r="D29" s="2280"/>
      <c r="E29" s="2280"/>
      <c r="F29" s="2280"/>
      <c r="G29" s="2280"/>
      <c r="H29" s="2280"/>
      <c r="I29" s="2280"/>
      <c r="J29" s="2280"/>
      <c r="K29" s="2280"/>
      <c r="L29" s="2280"/>
      <c r="M29" s="2280"/>
      <c r="N29" s="2280"/>
      <c r="O29" s="2280"/>
      <c r="P29" s="2280"/>
      <c r="Q29" s="2280"/>
      <c r="R29" s="2280"/>
      <c r="S29" s="2280"/>
      <c r="T29" s="2281"/>
    </row>
    <row r="30" spans="1:34">
      <c r="A30" s="2279"/>
      <c r="B30" s="2280"/>
      <c r="C30" s="2280"/>
      <c r="D30" s="2280"/>
      <c r="E30" s="2280"/>
      <c r="F30" s="2280"/>
      <c r="G30" s="2280"/>
      <c r="H30" s="2280"/>
      <c r="I30" s="2280"/>
      <c r="J30" s="2280"/>
      <c r="K30" s="2280"/>
      <c r="L30" s="2280"/>
      <c r="M30" s="2280"/>
      <c r="N30" s="2280"/>
      <c r="O30" s="2280"/>
      <c r="P30" s="2280"/>
      <c r="Q30" s="2280"/>
      <c r="R30" s="2280"/>
      <c r="S30" s="2280"/>
      <c r="T30" s="2281"/>
    </row>
    <row r="31" spans="1:34">
      <c r="A31" s="2279"/>
      <c r="B31" s="2280"/>
      <c r="C31" s="2280"/>
      <c r="D31" s="2280"/>
      <c r="E31" s="2280"/>
      <c r="F31" s="2280"/>
      <c r="G31" s="2280"/>
      <c r="H31" s="2280"/>
      <c r="I31" s="2280"/>
      <c r="J31" s="2280"/>
      <c r="K31" s="2280"/>
      <c r="L31" s="2280"/>
      <c r="M31" s="2280"/>
      <c r="N31" s="2280"/>
      <c r="O31" s="2280"/>
      <c r="P31" s="2280"/>
      <c r="Q31" s="2280"/>
      <c r="R31" s="2280"/>
      <c r="S31" s="2280"/>
      <c r="T31" s="2281"/>
    </row>
    <row r="32" spans="1:34" ht="21" customHeight="1" thickBot="1">
      <c r="A32" s="2282"/>
      <c r="B32" s="2283"/>
      <c r="C32" s="2283"/>
      <c r="D32" s="2283"/>
      <c r="E32" s="2283"/>
      <c r="F32" s="2283"/>
      <c r="G32" s="2283"/>
      <c r="H32" s="2283"/>
      <c r="I32" s="2283"/>
      <c r="J32" s="2283"/>
      <c r="K32" s="2283"/>
      <c r="L32" s="2283"/>
      <c r="M32" s="2283"/>
      <c r="N32" s="2283"/>
      <c r="O32" s="2283"/>
      <c r="P32" s="2283"/>
      <c r="Q32" s="2283"/>
      <c r="R32" s="2283"/>
      <c r="S32" s="2283"/>
      <c r="T32" s="2284"/>
    </row>
  </sheetData>
  <sheetProtection formatCells="0" formatColumns="0" formatRows="0"/>
  <customSheetViews>
    <customSheetView guid="{E26F941C-F347-432D-B4B3-73B25F002075}" scale="70" fitToPage="1" hiddenColumns="1" topLeftCell="AH1">
      <selection activeCell="G6" sqref="G6"/>
      <pageMargins left="0.45" right="0.5" top="0.56000000000000005" bottom="0.45" header="0.36" footer="0.22"/>
      <printOptions horizontalCentered="1"/>
      <pageSetup paperSize="9" scale="43" orientation="landscape" cellComments="asDisplayed" r:id="rId1"/>
      <headerFooter alignWithMargins="0">
        <oddFooter>&amp;L&amp;9SD 3.1A - Form, Ongoing DR/PU and LFA Review and Recommendation_v2.1 February 2006&amp;R&amp;9Page &amp;P of &amp;N</oddFooter>
      </headerFooter>
    </customSheetView>
  </customSheetViews>
  <mergeCells count="79">
    <mergeCell ref="A26:T32"/>
    <mergeCell ref="C23:G23"/>
    <mergeCell ref="Q23:T23"/>
    <mergeCell ref="A25:T25"/>
    <mergeCell ref="M23:N23"/>
    <mergeCell ref="C21:G21"/>
    <mergeCell ref="C22:G22"/>
    <mergeCell ref="C19:G19"/>
    <mergeCell ref="C20:G20"/>
    <mergeCell ref="Q13:T13"/>
    <mergeCell ref="Q16:T16"/>
    <mergeCell ref="Q17:T17"/>
    <mergeCell ref="Q15:T15"/>
    <mergeCell ref="Q14:T14"/>
    <mergeCell ref="C14:G14"/>
    <mergeCell ref="Q22:T22"/>
    <mergeCell ref="C18:G18"/>
    <mergeCell ref="Q18:T18"/>
    <mergeCell ref="M18:N18"/>
    <mergeCell ref="M19:N19"/>
    <mergeCell ref="Q19:T19"/>
    <mergeCell ref="C12:G12"/>
    <mergeCell ref="Q12:T12"/>
    <mergeCell ref="M17:N17"/>
    <mergeCell ref="C15:G15"/>
    <mergeCell ref="C17:G17"/>
    <mergeCell ref="M16:N16"/>
    <mergeCell ref="C13:G13"/>
    <mergeCell ref="M13:N13"/>
    <mergeCell ref="M14:N14"/>
    <mergeCell ref="C16:G16"/>
    <mergeCell ref="M15:N15"/>
    <mergeCell ref="M12:N12"/>
    <mergeCell ref="A8:T8"/>
    <mergeCell ref="A7:L7"/>
    <mergeCell ref="A9:T9"/>
    <mergeCell ref="H10:H11"/>
    <mergeCell ref="Q10:T11"/>
    <mergeCell ref="O10:O11"/>
    <mergeCell ref="L10:L11"/>
    <mergeCell ref="J10:J11"/>
    <mergeCell ref="P10:P11"/>
    <mergeCell ref="M10:N11"/>
    <mergeCell ref="A10:A11"/>
    <mergeCell ref="I10:I11"/>
    <mergeCell ref="K10:K11"/>
    <mergeCell ref="B10:B11"/>
    <mergeCell ref="C10:G11"/>
    <mergeCell ref="A1:K1"/>
    <mergeCell ref="A3:C3"/>
    <mergeCell ref="A4:C4"/>
    <mergeCell ref="A5:C5"/>
    <mergeCell ref="A6:C6"/>
    <mergeCell ref="W9:AH9"/>
    <mergeCell ref="W10:W11"/>
    <mergeCell ref="X10:X11"/>
    <mergeCell ref="Y10:AC11"/>
    <mergeCell ref="AD10:AD11"/>
    <mergeCell ref="AE10:AE11"/>
    <mergeCell ref="AF10:AF11"/>
    <mergeCell ref="AG10:AG11"/>
    <mergeCell ref="AH10:AH11"/>
    <mergeCell ref="M22:N22"/>
    <mergeCell ref="Y22:AC22"/>
    <mergeCell ref="Y20:AC20"/>
    <mergeCell ref="Y21:AC21"/>
    <mergeCell ref="Q20:T20"/>
    <mergeCell ref="M20:N20"/>
    <mergeCell ref="Q21:T21"/>
    <mergeCell ref="M21:N21"/>
    <mergeCell ref="Y14:AC14"/>
    <mergeCell ref="Y15:AC15"/>
    <mergeCell ref="Y23:AC23"/>
    <mergeCell ref="Y12:AC12"/>
    <mergeCell ref="Y13:AC13"/>
    <mergeCell ref="Y18:AC18"/>
    <mergeCell ref="Y19:AC19"/>
    <mergeCell ref="Y16:AC16"/>
    <mergeCell ref="Y17:AC17"/>
  </mergeCells>
  <phoneticPr fontId="29" type="noConversion"/>
  <conditionalFormatting sqref="A12:L23">
    <cfRule type="cellIs" dxfId="71" priority="1" operator="notEqual">
      <formula>W12</formula>
    </cfRule>
  </conditionalFormatting>
  <dataValidations count="5">
    <dataValidation type="list" allowBlank="1" showInputMessage="1" showErrorMessage="1" sqref="M12:M23">
      <formula1>"Select,Not Verified,Desk Review,PR On-site Visit,SR On-site Visit,Other ..."</formula1>
    </dataValidation>
    <dataValidation type="list" allowBlank="1" showInputMessage="1" showErrorMessage="1" sqref="AF12:AF23 J12:J23">
      <formula1>"Select, Yes - Top 10, Top 10 equivalent, No"</formula1>
    </dataValidation>
    <dataValidation type="list" allowBlank="1" showInputMessage="1" showErrorMessage="1" sqref="AD12:AD23 H12:H23">
      <formula1>"Select, National Program, Current grant, GF, GF and other donors"</formula1>
    </dataValidation>
    <dataValidation type="list" allowBlank="1" showInputMessage="1" showErrorMessage="1" sqref="I12:I23">
      <formula1>"Select, Y-over program term, Y-cumulative annually, N-not cumulative, Y-over RCC term"</formula1>
    </dataValidation>
    <dataValidation type="list" allowBlank="1" showInputMessage="1" showErrorMessage="1" sqref="AE12:AE23">
      <formula1>"Select, Y-over program term, Y-cumulative annually, N-not cumulative"</formula1>
    </dataValidation>
  </dataValidations>
  <printOptions horizontalCentered="1"/>
  <pageMargins left="0.55118110236220474" right="0.55118110236220474" top="0.39370078740157483" bottom="0.59055118110236227" header="0.51181102362204722" footer="0.51181102362204722"/>
  <pageSetup paperSize="9" scale="41" fitToHeight="0" orientation="landscape" cellComments="asDisplayed" r:id="rId2"/>
  <headerFooter alignWithMargins="0">
    <oddFooter>&amp;L&amp;9&amp;F&amp;C&amp;A&amp;R&amp;9Page &amp;P of &amp;N</oddFooter>
  </headerFooter>
</worksheet>
</file>

<file path=xl/worksheets/sheet17.xml><?xml version="1.0" encoding="utf-8"?>
<worksheet xmlns="http://schemas.openxmlformats.org/spreadsheetml/2006/main" xmlns:r="http://schemas.openxmlformats.org/officeDocument/2006/relationships">
  <sheetPr>
    <tabColor indexed="40"/>
  </sheetPr>
  <dimension ref="A1:Q70"/>
  <sheetViews>
    <sheetView workbookViewId="0">
      <selection activeCell="Q7" sqref="Q7"/>
    </sheetView>
  </sheetViews>
  <sheetFormatPr defaultColWidth="6.85546875" defaultRowHeight="11.25"/>
  <cols>
    <col min="1" max="1" width="1.140625" style="1589" customWidth="1"/>
    <col min="2" max="5" width="12.85546875" style="1589" customWidth="1"/>
    <col min="6" max="6" width="48" style="1589" customWidth="1"/>
    <col min="7" max="7" width="14.28515625" style="1589" customWidth="1"/>
    <col min="8" max="8" width="14.28515625" style="1590" customWidth="1"/>
    <col min="9" max="9" width="14.28515625" style="1589" customWidth="1"/>
    <col min="10" max="10" width="14.28515625" style="1590" customWidth="1"/>
    <col min="11" max="11" width="14.28515625" style="1589" customWidth="1"/>
    <col min="12" max="12" width="11.85546875" style="1589" customWidth="1"/>
    <col min="13" max="13" width="12.28515625" style="1590" customWidth="1"/>
    <col min="14" max="14" width="10.28515625" style="1589" customWidth="1"/>
    <col min="15" max="15" width="7.5703125" style="1589" customWidth="1"/>
    <col min="16" max="16" width="11.7109375" style="1589" bestFit="1" customWidth="1"/>
    <col min="17" max="17" width="13.5703125" style="1589" customWidth="1"/>
    <col min="18" max="16384" width="6.85546875" style="1589"/>
  </cols>
  <sheetData>
    <row r="1" spans="1:17" ht="5.25" customHeight="1"/>
    <row r="2" spans="1:17" ht="17.25" customHeight="1">
      <c r="A2" s="1591"/>
      <c r="B2" s="1592" t="s">
        <v>1076</v>
      </c>
      <c r="C2" s="1593"/>
      <c r="D2" s="1593"/>
      <c r="E2" s="1593"/>
      <c r="F2" s="1593"/>
      <c r="G2" s="1594"/>
      <c r="H2" s="1595"/>
      <c r="I2" s="1596"/>
      <c r="J2" s="1595"/>
      <c r="K2" s="1596"/>
      <c r="L2" s="1596"/>
      <c r="M2" s="1595"/>
      <c r="N2" s="1596"/>
      <c r="O2" s="1597"/>
    </row>
    <row r="3" spans="1:17" ht="36.75" customHeight="1" thickBot="1">
      <c r="A3" s="1591"/>
      <c r="B3" s="1598" t="s">
        <v>1077</v>
      </c>
      <c r="C3" s="1593"/>
      <c r="D3" s="1593"/>
      <c r="E3" s="1593"/>
      <c r="F3" s="1593"/>
      <c r="G3" s="2287" t="s">
        <v>1078</v>
      </c>
      <c r="H3" s="2288"/>
      <c r="I3" s="2289" t="s">
        <v>1079</v>
      </c>
      <c r="J3" s="2289"/>
      <c r="K3" s="2289"/>
      <c r="L3" s="1596"/>
      <c r="M3" s="1595"/>
      <c r="N3" s="1596"/>
      <c r="O3" s="1597"/>
    </row>
    <row r="4" spans="1:17" s="1607" customFormat="1" ht="36.75" customHeight="1" thickTop="1">
      <c r="A4" s="1599"/>
      <c r="B4" s="1600" t="s">
        <v>1080</v>
      </c>
      <c r="C4" s="1599" t="s">
        <v>1081</v>
      </c>
      <c r="D4" s="1599" t="s">
        <v>1082</v>
      </c>
      <c r="E4" s="1599" t="s">
        <v>1083</v>
      </c>
      <c r="F4" s="1599" t="s">
        <v>1084</v>
      </c>
      <c r="G4" s="1601" t="s">
        <v>1085</v>
      </c>
      <c r="H4" s="1602" t="s">
        <v>594</v>
      </c>
      <c r="I4" s="1679" t="s">
        <v>1086</v>
      </c>
      <c r="J4" s="1680" t="s">
        <v>1087</v>
      </c>
      <c r="K4" s="1603" t="s">
        <v>1088</v>
      </c>
      <c r="L4" s="1604"/>
      <c r="M4" s="1605" t="s">
        <v>1089</v>
      </c>
      <c r="N4" s="1604" t="s">
        <v>1090</v>
      </c>
      <c r="O4" s="1604"/>
      <c r="P4" s="1606"/>
    </row>
    <row r="5" spans="1:17" s="1616" customFormat="1" ht="29.25" customHeight="1">
      <c r="A5" s="1608"/>
      <c r="B5" s="1609" t="s">
        <v>365</v>
      </c>
      <c r="C5" s="1609" t="s">
        <v>366</v>
      </c>
      <c r="D5" s="1609" t="s">
        <v>366</v>
      </c>
      <c r="E5" s="1609">
        <v>1.1000000000000001</v>
      </c>
      <c r="F5" s="1610" t="s">
        <v>669</v>
      </c>
      <c r="G5" s="1609">
        <v>15</v>
      </c>
      <c r="H5" s="1681">
        <v>75600</v>
      </c>
      <c r="I5" s="1609">
        <v>15</v>
      </c>
      <c r="J5" s="1681">
        <v>55829</v>
      </c>
      <c r="K5" s="1614">
        <f>IF(J5="","",IF(D5="No",IF(J5/H5&gt;1.2,1.2,J5/H5),IF(D5="Yes",IF(H5/J5&gt;1.2,1.2,H5/J5))))</f>
        <v>0.73847883597883601</v>
      </c>
      <c r="L5" s="1615"/>
      <c r="M5" s="1688"/>
      <c r="N5" s="1689"/>
      <c r="O5" s="1684"/>
      <c r="P5" s="1684"/>
      <c r="Q5" s="1684"/>
    </row>
    <row r="6" spans="1:17" s="1616" customFormat="1" ht="21.75" customHeight="1">
      <c r="A6" s="1608"/>
      <c r="B6" s="1609" t="s">
        <v>366</v>
      </c>
      <c r="C6" s="1609" t="s">
        <v>365</v>
      </c>
      <c r="D6" s="1609" t="s">
        <v>366</v>
      </c>
      <c r="E6" s="1609">
        <v>1.2</v>
      </c>
      <c r="F6" s="1610" t="s">
        <v>671</v>
      </c>
      <c r="G6" s="1609">
        <v>15</v>
      </c>
      <c r="H6" s="1681">
        <v>679</v>
      </c>
      <c r="I6" s="1609">
        <v>15</v>
      </c>
      <c r="J6" s="1681">
        <v>395</v>
      </c>
      <c r="K6" s="1617">
        <f t="shared" ref="K6:K18" si="0">IF(J6="","",IF(D6="No",IF(J6/H6&gt;1.2,1.2,J6/H6),IF(D6="Yes",IF(H6/J6&gt;1.2,1.2,H6/J6))))</f>
        <v>0.58173784977908694</v>
      </c>
      <c r="L6" s="1615"/>
      <c r="M6" s="1688"/>
      <c r="N6" s="1689"/>
      <c r="O6" s="1684"/>
      <c r="P6" s="1684"/>
      <c r="Q6" s="1684"/>
    </row>
    <row r="7" spans="1:17" s="1616" customFormat="1" ht="42" customHeight="1">
      <c r="A7" s="1608"/>
      <c r="B7" s="1609" t="s">
        <v>365</v>
      </c>
      <c r="C7" s="1609" t="s">
        <v>366</v>
      </c>
      <c r="D7" s="1609" t="s">
        <v>366</v>
      </c>
      <c r="E7" s="1609">
        <v>1.3</v>
      </c>
      <c r="F7" s="1610" t="s">
        <v>672</v>
      </c>
      <c r="G7" s="1609">
        <v>15</v>
      </c>
      <c r="H7" s="1681"/>
      <c r="I7" s="1609">
        <v>15</v>
      </c>
      <c r="J7" s="1681"/>
      <c r="K7" s="1617"/>
      <c r="L7" s="1615"/>
      <c r="M7" s="1688"/>
      <c r="N7" s="1689"/>
      <c r="O7" s="1684"/>
      <c r="P7" s="1684"/>
      <c r="Q7" s="1684"/>
    </row>
    <row r="8" spans="1:17" s="1616" customFormat="1" ht="21.75" customHeight="1">
      <c r="A8" s="1608"/>
      <c r="B8" s="1609" t="s">
        <v>365</v>
      </c>
      <c r="C8" s="1609" t="s">
        <v>366</v>
      </c>
      <c r="D8" s="1609" t="s">
        <v>366</v>
      </c>
      <c r="E8" s="1609">
        <v>1.4</v>
      </c>
      <c r="F8" s="1610" t="s">
        <v>673</v>
      </c>
      <c r="G8" s="1609">
        <v>15</v>
      </c>
      <c r="H8" s="1681">
        <v>21850</v>
      </c>
      <c r="I8" s="1609">
        <v>15</v>
      </c>
      <c r="J8" s="1681">
        <v>22846</v>
      </c>
      <c r="K8" s="1617">
        <f>IF(J8="","",IF(D8="No",IF(J8/H8&gt;1.2,1.2,J8/H8),IF(D8="Yes",IF(H8/J8&gt;1.2,1.2,H8/J8))))</f>
        <v>1.04558352402746</v>
      </c>
      <c r="L8" s="1615"/>
      <c r="M8" s="1688"/>
      <c r="N8" s="1689"/>
      <c r="O8" s="1684"/>
      <c r="P8" s="1684"/>
      <c r="Q8" s="1684"/>
    </row>
    <row r="9" spans="1:17" s="1616" customFormat="1" ht="27" customHeight="1">
      <c r="A9" s="1608"/>
      <c r="B9" s="1609" t="s">
        <v>365</v>
      </c>
      <c r="C9" s="1609" t="s">
        <v>365</v>
      </c>
      <c r="D9" s="1609" t="s">
        <v>366</v>
      </c>
      <c r="E9" s="1609">
        <v>1.5</v>
      </c>
      <c r="F9" s="1610" t="s">
        <v>674</v>
      </c>
      <c r="G9" s="1609">
        <v>15</v>
      </c>
      <c r="H9" s="1681">
        <v>887</v>
      </c>
      <c r="I9" s="1609">
        <v>15</v>
      </c>
      <c r="J9" s="1681">
        <v>816</v>
      </c>
      <c r="K9" s="1617">
        <f t="shared" si="0"/>
        <v>0.91995490417136416</v>
      </c>
      <c r="L9" s="1615"/>
      <c r="M9" s="1688"/>
      <c r="N9" s="1689"/>
      <c r="O9" s="1684"/>
      <c r="P9" s="1684"/>
      <c r="Q9" s="1684"/>
    </row>
    <row r="10" spans="1:17" s="1616" customFormat="1" ht="18" customHeight="1">
      <c r="A10" s="1608"/>
      <c r="B10" s="1609" t="s">
        <v>366</v>
      </c>
      <c r="C10" s="1609" t="s">
        <v>366</v>
      </c>
      <c r="D10" s="1609" t="s">
        <v>366</v>
      </c>
      <c r="E10" s="1609">
        <v>1.6</v>
      </c>
      <c r="F10" s="1610" t="s">
        <v>675</v>
      </c>
      <c r="G10" s="1609">
        <v>15</v>
      </c>
      <c r="H10" s="1681">
        <v>1080</v>
      </c>
      <c r="I10" s="1609">
        <v>15</v>
      </c>
      <c r="J10" s="1681">
        <v>1442</v>
      </c>
      <c r="K10" s="1617">
        <f t="shared" si="0"/>
        <v>1.2</v>
      </c>
      <c r="L10" s="1615"/>
      <c r="M10" s="1688"/>
      <c r="N10" s="1689"/>
      <c r="O10" s="1684"/>
      <c r="P10" s="1684"/>
      <c r="Q10" s="1684"/>
    </row>
    <row r="11" spans="1:17" s="1616" customFormat="1" ht="30" customHeight="1">
      <c r="A11" s="1608"/>
      <c r="B11" s="1609" t="s">
        <v>366</v>
      </c>
      <c r="C11" s="1609" t="s">
        <v>365</v>
      </c>
      <c r="D11" s="1609" t="s">
        <v>366</v>
      </c>
      <c r="E11" s="1609">
        <v>1.7</v>
      </c>
      <c r="F11" s="1610" t="s">
        <v>1091</v>
      </c>
      <c r="G11" s="1609">
        <v>15</v>
      </c>
      <c r="H11" s="1681">
        <v>250</v>
      </c>
      <c r="I11" s="1609">
        <v>15</v>
      </c>
      <c r="J11" s="1681">
        <v>142</v>
      </c>
      <c r="K11" s="1617">
        <f t="shared" si="0"/>
        <v>0.56799999999999995</v>
      </c>
      <c r="L11" s="1615"/>
      <c r="M11" s="1688"/>
      <c r="N11" s="1689"/>
      <c r="O11" s="1684"/>
      <c r="P11" s="1684"/>
      <c r="Q11" s="1684"/>
    </row>
    <row r="12" spans="1:17" s="1616" customFormat="1" ht="32.25" customHeight="1">
      <c r="A12" s="1608"/>
      <c r="B12" s="1609" t="s">
        <v>365</v>
      </c>
      <c r="C12" s="1609" t="s">
        <v>365</v>
      </c>
      <c r="D12" s="1609" t="s">
        <v>366</v>
      </c>
      <c r="E12" s="1609">
        <v>1.8</v>
      </c>
      <c r="F12" s="1610" t="s">
        <v>676</v>
      </c>
      <c r="G12" s="1609">
        <v>15</v>
      </c>
      <c r="H12" s="1681">
        <v>17000</v>
      </c>
      <c r="I12" s="1609">
        <v>15</v>
      </c>
      <c r="J12" s="1681">
        <v>17461</v>
      </c>
      <c r="K12" s="1617">
        <f t="shared" si="0"/>
        <v>1.0271176470588235</v>
      </c>
      <c r="L12" s="1615"/>
      <c r="M12" s="1688"/>
      <c r="N12" s="1689"/>
      <c r="O12" s="1684"/>
      <c r="P12" s="1684"/>
      <c r="Q12" s="1684"/>
    </row>
    <row r="13" spans="1:17" s="1616" customFormat="1" ht="30" customHeight="1">
      <c r="A13" s="1608"/>
      <c r="B13" s="1609" t="s">
        <v>365</v>
      </c>
      <c r="C13" s="1609" t="s">
        <v>365</v>
      </c>
      <c r="D13" s="1609" t="s">
        <v>366</v>
      </c>
      <c r="E13" s="1609">
        <v>1.9</v>
      </c>
      <c r="F13" s="1610" t="s">
        <v>677</v>
      </c>
      <c r="G13" s="1609">
        <v>15</v>
      </c>
      <c r="H13" s="1681">
        <v>7500</v>
      </c>
      <c r="I13" s="1609">
        <v>15</v>
      </c>
      <c r="J13" s="1681">
        <v>6434</v>
      </c>
      <c r="K13" s="1617">
        <f t="shared" si="0"/>
        <v>0.85786666666666667</v>
      </c>
      <c r="L13" s="1615"/>
      <c r="M13" s="1688"/>
      <c r="N13" s="1689"/>
      <c r="O13" s="1684"/>
      <c r="P13" s="1684"/>
      <c r="Q13" s="1684"/>
    </row>
    <row r="14" spans="1:17" s="1616" customFormat="1" ht="30" customHeight="1">
      <c r="A14" s="1608"/>
      <c r="B14" s="1609" t="s">
        <v>365</v>
      </c>
      <c r="C14" s="1609" t="s">
        <v>366</v>
      </c>
      <c r="D14" s="1609" t="s">
        <v>366</v>
      </c>
      <c r="E14" s="1609">
        <v>2.2000000000000002</v>
      </c>
      <c r="F14" s="1610" t="s">
        <v>678</v>
      </c>
      <c r="G14" s="1609">
        <v>15</v>
      </c>
      <c r="H14" s="1681">
        <v>28000</v>
      </c>
      <c r="I14" s="1609">
        <v>15</v>
      </c>
      <c r="J14" s="1681">
        <v>42230</v>
      </c>
      <c r="K14" s="1617">
        <f t="shared" si="0"/>
        <v>1.2</v>
      </c>
      <c r="L14" s="1615"/>
      <c r="M14" s="1685"/>
      <c r="N14" s="1684"/>
      <c r="O14" s="1684"/>
      <c r="P14" s="1684"/>
      <c r="Q14" s="1684"/>
    </row>
    <row r="15" spans="1:17" s="1616" customFormat="1" ht="30.75" customHeight="1">
      <c r="A15" s="1608"/>
      <c r="B15" s="1609" t="s">
        <v>365</v>
      </c>
      <c r="C15" s="1609" t="s">
        <v>366</v>
      </c>
      <c r="D15" s="1609" t="s">
        <v>365</v>
      </c>
      <c r="E15" s="1609">
        <v>3.1</v>
      </c>
      <c r="F15" s="1610" t="s">
        <v>1092</v>
      </c>
      <c r="G15" s="1609">
        <v>15</v>
      </c>
      <c r="H15" s="1681">
        <v>85</v>
      </c>
      <c r="I15" s="1609">
        <v>15</v>
      </c>
      <c r="J15" s="1681">
        <v>63</v>
      </c>
      <c r="K15" s="1617">
        <f t="shared" si="0"/>
        <v>1.2</v>
      </c>
      <c r="L15" s="1615"/>
      <c r="M15" s="1685"/>
      <c r="N15" s="1684"/>
      <c r="O15" s="1684"/>
      <c r="P15" s="1684"/>
      <c r="Q15" s="1684"/>
    </row>
    <row r="16" spans="1:17" s="1616" customFormat="1" ht="18" customHeight="1">
      <c r="A16" s="1608"/>
      <c r="B16" s="1611"/>
      <c r="C16" s="1611"/>
      <c r="D16" s="1611"/>
      <c r="E16" s="1611"/>
      <c r="F16" s="1611"/>
      <c r="G16" s="1611"/>
      <c r="H16" s="1612"/>
      <c r="I16" s="1611"/>
      <c r="J16" s="1612"/>
      <c r="K16" s="1617" t="str">
        <f t="shared" si="0"/>
        <v/>
      </c>
      <c r="L16" s="1615"/>
      <c r="M16" s="1686"/>
      <c r="N16" s="1618"/>
      <c r="O16" s="1618"/>
      <c r="P16" s="1618"/>
      <c r="Q16" s="1687"/>
    </row>
    <row r="17" spans="1:16" s="1616" customFormat="1" ht="3.75" customHeight="1">
      <c r="A17" s="1608"/>
      <c r="B17" s="1611"/>
      <c r="C17" s="1611"/>
      <c r="D17" s="1611"/>
      <c r="E17" s="1611"/>
      <c r="F17" s="1611"/>
      <c r="G17" s="1611"/>
      <c r="H17" s="1612"/>
      <c r="I17" s="1613"/>
      <c r="J17" s="1612"/>
      <c r="K17" s="1617" t="str">
        <f t="shared" si="0"/>
        <v/>
      </c>
      <c r="L17" s="1615"/>
      <c r="M17" s="1619"/>
      <c r="N17" s="1615"/>
      <c r="O17" s="1615"/>
      <c r="P17" s="1620"/>
    </row>
    <row r="18" spans="1:16" s="1616" customFormat="1" ht="18" hidden="1" customHeight="1">
      <c r="A18" s="1608"/>
      <c r="B18" s="1611"/>
      <c r="C18" s="1611"/>
      <c r="D18" s="1611"/>
      <c r="E18" s="1611"/>
      <c r="F18" s="1611"/>
      <c r="G18" s="1611"/>
      <c r="H18" s="1612"/>
      <c r="I18" s="1613"/>
      <c r="J18" s="1612"/>
      <c r="K18" s="1621" t="str">
        <f t="shared" si="0"/>
        <v/>
      </c>
      <c r="L18" s="1615"/>
      <c r="M18" s="1619"/>
      <c r="N18" s="1615"/>
      <c r="O18" s="1615"/>
      <c r="P18" s="1620"/>
    </row>
    <row r="19" spans="1:16" s="1616" customFormat="1" ht="18" hidden="1" customHeight="1">
      <c r="A19" s="1608"/>
      <c r="B19" s="1611"/>
      <c r="C19" s="1611"/>
      <c r="D19" s="1611"/>
      <c r="E19" s="1611"/>
      <c r="F19" s="1611"/>
      <c r="G19" s="1611"/>
      <c r="H19" s="1612"/>
      <c r="I19" s="1613"/>
      <c r="J19" s="1612"/>
      <c r="K19" s="1621" t="str">
        <f>IF(J19="","",IF(D19="No",IF(J19/H19&gt;1.2,1.2,J19/H19),IF(D19="Yes",IF(H19/J19&gt;1.2,1.2,H19/J19))))</f>
        <v/>
      </c>
      <c r="L19" s="1615"/>
      <c r="M19" s="1619"/>
      <c r="N19" s="1615"/>
      <c r="O19" s="1615"/>
      <c r="P19" s="1620"/>
    </row>
    <row r="20" spans="1:16" s="1616" customFormat="1" ht="18" hidden="1" customHeight="1">
      <c r="A20" s="1608"/>
      <c r="B20" s="1611"/>
      <c r="C20" s="1611"/>
      <c r="D20" s="1611"/>
      <c r="E20" s="1611"/>
      <c r="F20" s="1611"/>
      <c r="G20" s="1611"/>
      <c r="H20" s="1612"/>
      <c r="I20" s="1613"/>
      <c r="J20" s="1612"/>
      <c r="K20" s="1621" t="str">
        <f t="shared" ref="K20:K40" si="1">IF(J20="","",IF(D20="No",IF(J20/H20&gt;1.2,1.2,J20/H20),IF(D20="Yes",IF(H20/J20&gt;1.2,1.2,H20/J20))))</f>
        <v/>
      </c>
      <c r="L20" s="1615"/>
      <c r="M20" s="1619"/>
      <c r="N20" s="1615"/>
      <c r="O20" s="1615"/>
      <c r="P20" s="1620"/>
    </row>
    <row r="21" spans="1:16" s="1616" customFormat="1" ht="18" hidden="1" customHeight="1">
      <c r="A21" s="1608"/>
      <c r="B21" s="1611"/>
      <c r="C21" s="1611"/>
      <c r="D21" s="1611"/>
      <c r="E21" s="1611"/>
      <c r="F21" s="1611"/>
      <c r="G21" s="1611"/>
      <c r="H21" s="1612"/>
      <c r="I21" s="1613"/>
      <c r="J21" s="1612"/>
      <c r="K21" s="1621" t="str">
        <f t="shared" si="1"/>
        <v/>
      </c>
      <c r="L21" s="1615"/>
      <c r="M21" s="1619"/>
      <c r="N21" s="1615"/>
      <c r="O21" s="1615"/>
      <c r="P21" s="1620"/>
    </row>
    <row r="22" spans="1:16" s="1616" customFormat="1" ht="18" hidden="1" customHeight="1">
      <c r="A22" s="1608"/>
      <c r="B22" s="1611"/>
      <c r="C22" s="1611"/>
      <c r="D22" s="1611"/>
      <c r="E22" s="1611"/>
      <c r="F22" s="1611"/>
      <c r="G22" s="1611"/>
      <c r="H22" s="1612"/>
      <c r="I22" s="1613"/>
      <c r="J22" s="1612"/>
      <c r="K22" s="1621" t="str">
        <f t="shared" si="1"/>
        <v/>
      </c>
      <c r="L22" s="1615"/>
      <c r="M22" s="1619"/>
      <c r="N22" s="1615"/>
      <c r="O22" s="1615"/>
      <c r="P22" s="1620"/>
    </row>
    <row r="23" spans="1:16" s="1616" customFormat="1" ht="18" hidden="1" customHeight="1">
      <c r="A23" s="1608"/>
      <c r="B23" s="1611"/>
      <c r="C23" s="1611"/>
      <c r="D23" s="1611"/>
      <c r="E23" s="1611"/>
      <c r="F23" s="1611"/>
      <c r="G23" s="1611"/>
      <c r="H23" s="1612"/>
      <c r="I23" s="1613"/>
      <c r="J23" s="1612"/>
      <c r="K23" s="1621" t="str">
        <f t="shared" si="1"/>
        <v/>
      </c>
      <c r="L23" s="1615"/>
      <c r="M23" s="1619"/>
      <c r="N23" s="1615"/>
      <c r="O23" s="1615"/>
      <c r="P23" s="1620"/>
    </row>
    <row r="24" spans="1:16" s="1616" customFormat="1" ht="18" hidden="1" customHeight="1">
      <c r="A24" s="1608"/>
      <c r="B24" s="1611"/>
      <c r="C24" s="1611"/>
      <c r="D24" s="1611"/>
      <c r="E24" s="1611"/>
      <c r="F24" s="1611"/>
      <c r="G24" s="1611"/>
      <c r="H24" s="1612"/>
      <c r="I24" s="1613"/>
      <c r="J24" s="1612"/>
      <c r="K24" s="1621" t="str">
        <f t="shared" si="1"/>
        <v/>
      </c>
      <c r="L24" s="1615"/>
      <c r="M24" s="1619"/>
      <c r="N24" s="1615"/>
      <c r="O24" s="1615"/>
      <c r="P24" s="1620"/>
    </row>
    <row r="25" spans="1:16" s="1616" customFormat="1" ht="18" hidden="1" customHeight="1">
      <c r="A25" s="1608"/>
      <c r="B25" s="1611"/>
      <c r="C25" s="1611"/>
      <c r="D25" s="1611"/>
      <c r="E25" s="1611"/>
      <c r="F25" s="1611"/>
      <c r="G25" s="1611"/>
      <c r="H25" s="1612"/>
      <c r="I25" s="1613"/>
      <c r="J25" s="1612"/>
      <c r="K25" s="1621" t="str">
        <f t="shared" si="1"/>
        <v/>
      </c>
      <c r="L25" s="1615"/>
      <c r="M25" s="1619"/>
      <c r="N25" s="1615"/>
      <c r="O25" s="1615"/>
      <c r="P25" s="1620"/>
    </row>
    <row r="26" spans="1:16" s="1616" customFormat="1" ht="9" hidden="1" customHeight="1">
      <c r="A26" s="1608"/>
      <c r="B26" s="1611"/>
      <c r="C26" s="1611"/>
      <c r="D26" s="1611"/>
      <c r="E26" s="1611"/>
      <c r="F26" s="1611"/>
      <c r="G26" s="1611"/>
      <c r="H26" s="1612"/>
      <c r="I26" s="1613"/>
      <c r="J26" s="1612"/>
      <c r="K26" s="1621" t="str">
        <f t="shared" si="1"/>
        <v/>
      </c>
      <c r="L26" s="1615"/>
      <c r="M26" s="1619"/>
      <c r="N26" s="1615"/>
      <c r="O26" s="1615"/>
      <c r="P26" s="1620"/>
    </row>
    <row r="27" spans="1:16" s="1616" customFormat="1" ht="18" hidden="1" customHeight="1">
      <c r="A27" s="1608"/>
      <c r="B27" s="1611"/>
      <c r="C27" s="1611"/>
      <c r="D27" s="1611"/>
      <c r="E27" s="1611"/>
      <c r="F27" s="1611"/>
      <c r="G27" s="1611"/>
      <c r="H27" s="1612"/>
      <c r="I27" s="1613"/>
      <c r="J27" s="1612"/>
      <c r="K27" s="1621" t="str">
        <f>IF(J27="","",IF(D27="No",IF(J27/H27&gt;1.2,1.2,J27/H27),IF(D27="Yes",IF(H27/J27&gt;1.2,1.2,H27/J27))))</f>
        <v/>
      </c>
      <c r="L27" s="1615"/>
      <c r="M27" s="1619"/>
      <c r="N27" s="1615"/>
      <c r="O27" s="1615"/>
      <c r="P27" s="1620"/>
    </row>
    <row r="28" spans="1:16" s="1616" customFormat="1" ht="18" hidden="1" customHeight="1">
      <c r="A28" s="1608"/>
      <c r="B28" s="1611"/>
      <c r="C28" s="1611"/>
      <c r="D28" s="1611"/>
      <c r="E28" s="1611"/>
      <c r="F28" s="1611"/>
      <c r="G28" s="1611"/>
      <c r="H28" s="1612"/>
      <c r="I28" s="1613"/>
      <c r="J28" s="1612"/>
      <c r="K28" s="1621" t="str">
        <f>IF(J28="","",IF(D28="No",IF(J28/H28&gt;1.2,1.2,J28/H28),IF(D28="Yes",IF(H28/J28&gt;1.2,1.2,H28/J28))))</f>
        <v/>
      </c>
      <c r="L28" s="1615"/>
      <c r="M28" s="1619"/>
      <c r="N28" s="1615"/>
      <c r="O28" s="1615"/>
      <c r="P28" s="1620"/>
    </row>
    <row r="29" spans="1:16" s="1616" customFormat="1" ht="18" hidden="1" customHeight="1">
      <c r="A29" s="1608"/>
      <c r="B29" s="1611"/>
      <c r="C29" s="1611"/>
      <c r="D29" s="1611"/>
      <c r="E29" s="1611"/>
      <c r="F29" s="1611"/>
      <c r="G29" s="1611"/>
      <c r="H29" s="1612"/>
      <c r="I29" s="1613"/>
      <c r="J29" s="1612"/>
      <c r="K29" s="1621" t="str">
        <f>IF(J29="","",IF(D29="No",IF(J29/H29&gt;1.2,1.2,J29/H29),IF(D29="Yes",IF(H29/J29&gt;1.2,1.2,H29/J29))))</f>
        <v/>
      </c>
      <c r="L29" s="1615"/>
      <c r="M29" s="1619"/>
      <c r="N29" s="1615"/>
      <c r="O29" s="1615"/>
      <c r="P29" s="1620"/>
    </row>
    <row r="30" spans="1:16" s="1616" customFormat="1" ht="18" hidden="1" customHeight="1">
      <c r="A30" s="1608"/>
      <c r="B30" s="1611"/>
      <c r="C30" s="1611"/>
      <c r="D30" s="1611"/>
      <c r="E30" s="1611"/>
      <c r="F30" s="1611"/>
      <c r="G30" s="1611"/>
      <c r="H30" s="1612"/>
      <c r="I30" s="1613"/>
      <c r="J30" s="1612"/>
      <c r="K30" s="1621" t="str">
        <f>IF(J30="","",IF(D30="No",IF(J30/H30&gt;1.2,1.2,J30/H30),IF(D30="Yes",IF(H30/J30&gt;1.2,1.2,H30/J30))))</f>
        <v/>
      </c>
      <c r="L30" s="1615"/>
      <c r="M30" s="1619"/>
      <c r="N30" s="1615"/>
      <c r="O30" s="1615"/>
      <c r="P30" s="1620"/>
    </row>
    <row r="31" spans="1:16" s="1616" customFormat="1" ht="18" hidden="1" customHeight="1">
      <c r="A31" s="1608"/>
      <c r="B31" s="1611"/>
      <c r="C31" s="1611"/>
      <c r="D31" s="1611"/>
      <c r="E31" s="1611"/>
      <c r="F31" s="1611"/>
      <c r="G31" s="1611"/>
      <c r="H31" s="1612"/>
      <c r="I31" s="1613"/>
      <c r="J31" s="1612"/>
      <c r="K31" s="1621" t="str">
        <f t="shared" si="1"/>
        <v/>
      </c>
      <c r="L31" s="1615"/>
      <c r="M31" s="1619"/>
      <c r="N31" s="1615"/>
      <c r="O31" s="1615"/>
      <c r="P31" s="1620"/>
    </row>
    <row r="32" spans="1:16" s="1616" customFormat="1" ht="18" hidden="1" customHeight="1">
      <c r="A32" s="1608"/>
      <c r="B32" s="1611"/>
      <c r="C32" s="1611"/>
      <c r="D32" s="1611"/>
      <c r="E32" s="1611"/>
      <c r="F32" s="1611"/>
      <c r="G32" s="1611"/>
      <c r="H32" s="1612"/>
      <c r="I32" s="1613"/>
      <c r="J32" s="1612"/>
      <c r="K32" s="1621" t="str">
        <f t="shared" si="1"/>
        <v/>
      </c>
      <c r="L32" s="1615"/>
      <c r="M32" s="1619"/>
      <c r="N32" s="1615"/>
      <c r="O32" s="1615"/>
      <c r="P32" s="1620"/>
    </row>
    <row r="33" spans="1:16" s="1616" customFormat="1" ht="18" hidden="1" customHeight="1">
      <c r="A33" s="1608"/>
      <c r="B33" s="1611"/>
      <c r="C33" s="1611"/>
      <c r="D33" s="1611"/>
      <c r="E33" s="1611"/>
      <c r="F33" s="1611"/>
      <c r="G33" s="1611"/>
      <c r="H33" s="1612"/>
      <c r="I33" s="1613"/>
      <c r="J33" s="1612"/>
      <c r="K33" s="1621" t="str">
        <f t="shared" si="1"/>
        <v/>
      </c>
      <c r="L33" s="1615"/>
      <c r="M33" s="1619"/>
      <c r="N33" s="1615"/>
      <c r="O33" s="1615"/>
      <c r="P33" s="1620"/>
    </row>
    <row r="34" spans="1:16" s="1616" customFormat="1" ht="18" hidden="1" customHeight="1">
      <c r="A34" s="1608"/>
      <c r="B34" s="1611"/>
      <c r="C34" s="1611"/>
      <c r="D34" s="1611"/>
      <c r="E34" s="1611"/>
      <c r="F34" s="1611"/>
      <c r="G34" s="1611"/>
      <c r="H34" s="1612"/>
      <c r="I34" s="1613"/>
      <c r="J34" s="1612"/>
      <c r="K34" s="1621" t="str">
        <f>IF(J34="","",IF(D34="No",IF(J34/H34&gt;1.2,1.2,J34/H34),IF(D34="Yes",IF(H34/J34&gt;1.2,1.2,H34/J34))))</f>
        <v/>
      </c>
      <c r="L34" s="1615"/>
      <c r="M34" s="1619"/>
      <c r="N34" s="1615"/>
      <c r="O34" s="1615"/>
      <c r="P34" s="1620"/>
    </row>
    <row r="35" spans="1:16" s="1616" customFormat="1" ht="18" hidden="1" customHeight="1">
      <c r="A35" s="1608"/>
      <c r="B35" s="1611"/>
      <c r="C35" s="1611"/>
      <c r="D35" s="1611"/>
      <c r="E35" s="1611"/>
      <c r="F35" s="1611"/>
      <c r="G35" s="1611"/>
      <c r="H35" s="1612"/>
      <c r="I35" s="1613"/>
      <c r="J35" s="1612"/>
      <c r="K35" s="1621" t="str">
        <f t="shared" si="1"/>
        <v/>
      </c>
      <c r="L35" s="1615"/>
      <c r="M35" s="1619"/>
      <c r="N35" s="1615"/>
      <c r="O35" s="1615"/>
      <c r="P35" s="1620"/>
    </row>
    <row r="36" spans="1:16" s="1616" customFormat="1" ht="18" hidden="1" customHeight="1">
      <c r="A36" s="1608"/>
      <c r="B36" s="1611"/>
      <c r="C36" s="1611"/>
      <c r="D36" s="1611"/>
      <c r="E36" s="1611"/>
      <c r="F36" s="1611"/>
      <c r="G36" s="1611"/>
      <c r="H36" s="1612"/>
      <c r="I36" s="1613"/>
      <c r="J36" s="1612"/>
      <c r="K36" s="1621" t="str">
        <f t="shared" si="1"/>
        <v/>
      </c>
      <c r="L36" s="1615"/>
      <c r="M36" s="1619"/>
      <c r="N36" s="1615"/>
      <c r="O36" s="1615"/>
      <c r="P36" s="1620"/>
    </row>
    <row r="37" spans="1:16" s="1616" customFormat="1" ht="18" hidden="1" customHeight="1">
      <c r="A37" s="1608"/>
      <c r="B37" s="1611"/>
      <c r="C37" s="1611"/>
      <c r="D37" s="1611"/>
      <c r="E37" s="1611"/>
      <c r="F37" s="1611"/>
      <c r="G37" s="1611"/>
      <c r="H37" s="1612"/>
      <c r="I37" s="1613"/>
      <c r="J37" s="1612"/>
      <c r="K37" s="1621" t="str">
        <f t="shared" si="1"/>
        <v/>
      </c>
      <c r="L37" s="1615"/>
      <c r="M37" s="1619"/>
      <c r="N37" s="1615"/>
      <c r="O37" s="1615"/>
      <c r="P37" s="1620"/>
    </row>
    <row r="38" spans="1:16" s="1616" customFormat="1" ht="18" hidden="1" customHeight="1">
      <c r="A38" s="1608"/>
      <c r="B38" s="1611"/>
      <c r="C38" s="1611"/>
      <c r="D38" s="1611"/>
      <c r="E38" s="1611"/>
      <c r="F38" s="1611"/>
      <c r="G38" s="1611"/>
      <c r="H38" s="1612"/>
      <c r="I38" s="1613"/>
      <c r="J38" s="1612"/>
      <c r="K38" s="1621" t="str">
        <f t="shared" si="1"/>
        <v/>
      </c>
      <c r="L38" s="1615"/>
      <c r="M38" s="1619"/>
      <c r="N38" s="1615"/>
      <c r="O38" s="1615"/>
      <c r="P38" s="1620"/>
    </row>
    <row r="39" spans="1:16" s="1616" customFormat="1" ht="18" hidden="1" customHeight="1">
      <c r="A39" s="1608"/>
      <c r="B39" s="1611"/>
      <c r="C39" s="1611"/>
      <c r="D39" s="1611"/>
      <c r="E39" s="1611"/>
      <c r="F39" s="1611"/>
      <c r="G39" s="1611"/>
      <c r="H39" s="1612"/>
      <c r="I39" s="1613"/>
      <c r="J39" s="1612"/>
      <c r="K39" s="1621" t="str">
        <f t="shared" si="1"/>
        <v/>
      </c>
      <c r="L39" s="1615"/>
      <c r="M39" s="1619"/>
      <c r="N39" s="1615"/>
      <c r="O39" s="1615"/>
      <c r="P39" s="1620"/>
    </row>
    <row r="40" spans="1:16" s="1616" customFormat="1" ht="18" hidden="1" customHeight="1">
      <c r="A40" s="1608"/>
      <c r="B40" s="1611"/>
      <c r="C40" s="1611"/>
      <c r="D40" s="1611"/>
      <c r="E40" s="1611"/>
      <c r="F40" s="1611"/>
      <c r="G40" s="1611"/>
      <c r="H40" s="1612"/>
      <c r="I40" s="1613"/>
      <c r="J40" s="1612"/>
      <c r="K40" s="1621" t="str">
        <f t="shared" si="1"/>
        <v/>
      </c>
      <c r="L40" s="1615"/>
      <c r="M40" s="1619"/>
      <c r="N40" s="1615"/>
      <c r="O40" s="1615"/>
      <c r="P40" s="1620"/>
    </row>
    <row r="41" spans="1:16" s="1616" customFormat="1" ht="3.75" customHeight="1">
      <c r="A41" s="1608"/>
      <c r="B41" s="1622"/>
      <c r="C41" s="1623"/>
      <c r="D41" s="1623"/>
      <c r="E41" s="1623"/>
      <c r="F41" s="1623"/>
      <c r="G41" s="1615"/>
      <c r="H41" s="1619"/>
      <c r="I41" s="1615"/>
      <c r="J41" s="1619"/>
      <c r="K41" s="1615"/>
      <c r="L41" s="1615"/>
      <c r="M41" s="1619"/>
      <c r="N41" s="1615"/>
      <c r="O41" s="1620"/>
    </row>
    <row r="42" spans="1:16" ht="19.5" customHeight="1">
      <c r="A42" s="1597" t="s">
        <v>1093</v>
      </c>
      <c r="B42" s="1624" t="s">
        <v>1094</v>
      </c>
      <c r="C42" s="1597"/>
      <c r="D42" s="1597"/>
      <c r="E42" s="1597"/>
      <c r="F42" s="1597"/>
      <c r="G42" s="1625"/>
      <c r="H42" s="1626"/>
      <c r="I42" s="1625"/>
      <c r="J42" s="1626"/>
      <c r="K42" s="1596"/>
      <c r="L42" s="1596"/>
      <c r="M42" s="1595"/>
      <c r="N42" s="1596"/>
      <c r="O42" s="1597"/>
    </row>
    <row r="43" spans="1:16" ht="16.5" customHeight="1">
      <c r="A43" s="1624"/>
      <c r="B43" s="1597"/>
      <c r="C43" s="2290" t="s">
        <v>1095</v>
      </c>
      <c r="D43" s="2290"/>
      <c r="F43" s="1627" t="s">
        <v>1096</v>
      </c>
      <c r="G43" s="1627"/>
      <c r="H43" s="1628"/>
      <c r="I43" s="1627"/>
      <c r="J43" s="1628"/>
      <c r="K43" s="1627"/>
      <c r="L43" s="1627"/>
      <c r="O43" s="1597"/>
    </row>
    <row r="44" spans="1:16" ht="27.75" customHeight="1" thickBot="1">
      <c r="A44" s="1624"/>
      <c r="B44" s="1597"/>
      <c r="C44" s="1597"/>
      <c r="D44" s="1597"/>
      <c r="E44" s="1597"/>
      <c r="F44" s="1625"/>
      <c r="G44" s="1625"/>
      <c r="H44" s="1626"/>
      <c r="I44" s="1625"/>
      <c r="J44" s="1626"/>
      <c r="K44" s="1596"/>
      <c r="L44" s="1596"/>
      <c r="N44" s="1596"/>
      <c r="O44" s="1597"/>
    </row>
    <row r="45" spans="1:16" ht="22.5" customHeight="1" thickBot="1">
      <c r="A45" s="1597"/>
      <c r="B45" s="2291" t="s">
        <v>1097</v>
      </c>
      <c r="C45" s="2292"/>
      <c r="D45" s="2293"/>
      <c r="E45" s="1629"/>
      <c r="F45" s="1630"/>
      <c r="G45" s="2294" t="s">
        <v>1098</v>
      </c>
      <c r="H45" s="2295"/>
      <c r="I45" s="2295"/>
      <c r="J45" s="2295"/>
      <c r="K45" s="2296"/>
    </row>
    <row r="46" spans="1:16" ht="22.5" customHeight="1" thickBot="1">
      <c r="A46" s="1596"/>
      <c r="B46" s="2297" t="s">
        <v>252</v>
      </c>
      <c r="C46" s="2298"/>
      <c r="D46" s="1631" t="s">
        <v>1099</v>
      </c>
      <c r="E46" s="1625"/>
      <c r="F46" s="1632" t="s">
        <v>1100</v>
      </c>
      <c r="G46" s="1633" t="s">
        <v>252</v>
      </c>
      <c r="H46" s="1634" t="s">
        <v>253</v>
      </c>
      <c r="I46" s="1635" t="s">
        <v>254</v>
      </c>
      <c r="J46" s="1634" t="s">
        <v>1101</v>
      </c>
      <c r="K46" s="1636" t="s">
        <v>256</v>
      </c>
    </row>
    <row r="47" spans="1:16" ht="22.5" customHeight="1">
      <c r="A47" s="1596"/>
      <c r="B47" s="2299" t="s">
        <v>253</v>
      </c>
      <c r="C47" s="2300"/>
      <c r="D47" s="1637" t="s">
        <v>1102</v>
      </c>
      <c r="E47" s="1625"/>
      <c r="F47" s="1638" t="s">
        <v>252</v>
      </c>
      <c r="G47" s="1639" t="s">
        <v>252</v>
      </c>
      <c r="H47" s="1640" t="s">
        <v>252</v>
      </c>
      <c r="I47" s="1641" t="s">
        <v>253</v>
      </c>
      <c r="J47" s="1642" t="s">
        <v>253</v>
      </c>
      <c r="K47" s="1643" t="s">
        <v>253</v>
      </c>
    </row>
    <row r="48" spans="1:16" ht="22.5" customHeight="1">
      <c r="A48" s="1596"/>
      <c r="B48" s="2299" t="s">
        <v>254</v>
      </c>
      <c r="C48" s="2300"/>
      <c r="D48" s="1637" t="s">
        <v>1103</v>
      </c>
      <c r="E48" s="1625"/>
      <c r="F48" s="1644" t="s">
        <v>253</v>
      </c>
      <c r="G48" s="1645" t="s">
        <v>253</v>
      </c>
      <c r="H48" s="1646" t="s">
        <v>253</v>
      </c>
      <c r="I48" s="1647" t="s">
        <v>253</v>
      </c>
      <c r="J48" s="1646" t="s">
        <v>254</v>
      </c>
      <c r="K48" s="1648" t="s">
        <v>254</v>
      </c>
    </row>
    <row r="49" spans="1:13" ht="22.5" customHeight="1">
      <c r="A49" s="1596"/>
      <c r="B49" s="2299" t="s">
        <v>1101</v>
      </c>
      <c r="C49" s="2300"/>
      <c r="D49" s="1637" t="s">
        <v>1104</v>
      </c>
      <c r="E49" s="1625"/>
      <c r="F49" s="1644" t="s">
        <v>254</v>
      </c>
      <c r="G49" s="1645" t="s">
        <v>253</v>
      </c>
      <c r="H49" s="1646" t="s">
        <v>254</v>
      </c>
      <c r="I49" s="1647" t="s">
        <v>254</v>
      </c>
      <c r="J49" s="1646" t="s">
        <v>254</v>
      </c>
      <c r="K49" s="1648" t="s">
        <v>1101</v>
      </c>
    </row>
    <row r="50" spans="1:13" ht="30" customHeight="1" thickBot="1">
      <c r="A50" s="1596"/>
      <c r="B50" s="2301" t="s">
        <v>256</v>
      </c>
      <c r="C50" s="2302"/>
      <c r="D50" s="1649" t="s">
        <v>1105</v>
      </c>
      <c r="E50" s="1625"/>
      <c r="F50" s="1644" t="s">
        <v>1101</v>
      </c>
      <c r="G50" s="1645" t="s">
        <v>254</v>
      </c>
      <c r="H50" s="1646" t="s">
        <v>254</v>
      </c>
      <c r="I50" s="1647" t="s">
        <v>1101</v>
      </c>
      <c r="J50" s="1646" t="s">
        <v>1101</v>
      </c>
      <c r="K50" s="1648" t="s">
        <v>1101</v>
      </c>
    </row>
    <row r="51" spans="1:13" ht="19.5" customHeight="1">
      <c r="A51" s="1596"/>
      <c r="B51" s="2294" t="s">
        <v>1106</v>
      </c>
      <c r="C51" s="2303"/>
      <c r="D51" s="1631">
        <f>COUNTIFS(B5:B13,"=Yes",C5:C13,"=Yes")</f>
        <v>3</v>
      </c>
      <c r="E51" s="1625"/>
      <c r="F51" s="1650"/>
      <c r="G51" s="1651"/>
      <c r="H51" s="1652"/>
      <c r="I51" s="1653"/>
      <c r="J51" s="1652"/>
      <c r="K51" s="1654"/>
    </row>
    <row r="52" spans="1:13" ht="21.75" customHeight="1" thickBot="1">
      <c r="A52" s="1596"/>
      <c r="B52" s="2304" t="s">
        <v>1107</v>
      </c>
      <c r="C52" s="2305"/>
      <c r="D52" s="1649">
        <f>COUNTIFS(B5:B13,"=No", C5:C13,"=Yes")</f>
        <v>2</v>
      </c>
      <c r="E52" s="1625"/>
      <c r="F52" s="1650"/>
      <c r="G52" s="1651"/>
      <c r="H52" s="1652"/>
      <c r="I52" s="1653"/>
      <c r="J52" s="1652"/>
      <c r="K52" s="1654"/>
    </row>
    <row r="53" spans="1:13" ht="22.5" customHeight="1" thickBot="1">
      <c r="A53" s="1596"/>
      <c r="B53" s="2294" t="s">
        <v>1108</v>
      </c>
      <c r="C53" s="2303"/>
      <c r="D53" s="1655">
        <f>IF(K5="","",IF(D51=0,"0",AVERAGEIFS(K5:K40,C5:C40,"=Yes",B5:B40,"=Yes")))</f>
        <v>0.93497973929895151</v>
      </c>
      <c r="E53" s="1656"/>
      <c r="F53" s="1657" t="s">
        <v>256</v>
      </c>
      <c r="G53" s="1658" t="s">
        <v>1101</v>
      </c>
      <c r="H53" s="1659" t="s">
        <v>1101</v>
      </c>
      <c r="I53" s="1660" t="s">
        <v>1101</v>
      </c>
      <c r="J53" s="1659" t="s">
        <v>256</v>
      </c>
      <c r="K53" s="1661" t="s">
        <v>256</v>
      </c>
    </row>
    <row r="54" spans="1:13" ht="22.5" customHeight="1">
      <c r="A54" s="1596"/>
      <c r="B54" s="2306" t="s">
        <v>1109</v>
      </c>
      <c r="C54" s="2307"/>
      <c r="D54" s="1662">
        <f>SUMIFS(K5:K40,B5:B40,"=Yes",C5:C40,"=No")</f>
        <v>4.1840623600062958</v>
      </c>
      <c r="E54" s="1663"/>
    </row>
    <row r="55" spans="1:13" ht="23.25" customHeight="1">
      <c r="A55" s="1596"/>
      <c r="B55" s="2306" t="s">
        <v>1110</v>
      </c>
      <c r="C55" s="2307"/>
      <c r="D55" s="1664">
        <f>COUNTIFS(B5:B40,"=Yes",C5:C40,"=No")</f>
        <v>5</v>
      </c>
      <c r="E55" s="1665"/>
    </row>
    <row r="56" spans="1:13" ht="27.75" customHeight="1">
      <c r="A56" s="1596"/>
      <c r="B56" s="2299" t="s">
        <v>1111</v>
      </c>
      <c r="C56" s="2300"/>
      <c r="D56" s="1666">
        <f>IF(K5="","",IF(D53="0",D54/D55,(D54+D53)/(D55+1)))</f>
        <v>0.85317368321754117</v>
      </c>
      <c r="F56" s="2314" t="s">
        <v>1112</v>
      </c>
      <c r="G56" s="2315"/>
      <c r="H56" s="2315"/>
      <c r="I56" s="2315"/>
      <c r="J56" s="2315"/>
      <c r="K56" s="2315"/>
      <c r="L56" s="1667"/>
      <c r="M56" s="1668"/>
    </row>
    <row r="57" spans="1:13" ht="22.5" customHeight="1" thickBot="1">
      <c r="A57" s="1596"/>
      <c r="B57" s="2299" t="s">
        <v>1113</v>
      </c>
      <c r="C57" s="2300"/>
      <c r="D57" s="1669">
        <f>COUNTIFS(B5:B40,"=Yes",K5:K40,"&lt;60%")</f>
        <v>0</v>
      </c>
      <c r="E57" s="1670"/>
      <c r="F57" s="2315"/>
      <c r="G57" s="2315"/>
      <c r="H57" s="2315"/>
      <c r="I57" s="2315"/>
      <c r="J57" s="2315"/>
      <c r="K57" s="2315"/>
      <c r="L57" s="1667"/>
      <c r="M57" s="1668"/>
    </row>
    <row r="58" spans="1:13" ht="22.5" customHeight="1" thickBot="1">
      <c r="A58" s="1596"/>
      <c r="B58" s="2301" t="s">
        <v>1114</v>
      </c>
      <c r="C58" s="2302"/>
      <c r="D58" s="1671" t="str">
        <f>IF(D56="","",IF(D56&gt;100%,"A1",IF(AND(D56&lt;=100%,D56&gt;=90%),"A2",IF(AND(D56&lt;90%,D56&gt;=60%),"B1",IF(AND(D56&lt;60%,D56&gt;=30%),"B2","C")))))</f>
        <v>B1</v>
      </c>
      <c r="E58" s="1672"/>
      <c r="F58" s="2316" t="s">
        <v>1115</v>
      </c>
      <c r="G58" s="2318" t="str">
        <f>IF(D58="A1",IF(D60="A1","A1",IF(D60="A2","A1",IF(D60="B1","A2",IF(D60="B2","A2","A2")))),IF(D58="A2",IF(D60="A1","A2",IF(D60="A2","A2",IF(D60="B1","A2",IF(D60="B2","B1","B1")))),IF(D58="B1",IF(D60="A1","A2",IF(D60="A2","B1",IF(D60="B1","B1",IF(D60="B2","B1","B2")))),IF(D58="B2",IF(D60="A1","B1",IF(D60="A2","B1",IF(D60="B1","B2",IF(D60="B2","B2","B2")))),IF(D58="C",IF(D60="A1","B2",IF(D60="A2","B2",IF(D60="B1","B2","C"))))))))</f>
        <v>B1</v>
      </c>
      <c r="I58" s="2320"/>
    </row>
    <row r="59" spans="1:13" ht="22.5" customHeight="1" thickBot="1">
      <c r="A59" s="1596"/>
      <c r="B59" s="2297" t="s">
        <v>1116</v>
      </c>
      <c r="C59" s="2298"/>
      <c r="D59" s="1673">
        <f>IF(K5="","",AVERAGE(K5:K40))</f>
        <v>0.93387394276822344</v>
      </c>
      <c r="E59" s="1674"/>
      <c r="F59" s="2317"/>
      <c r="G59" s="2319"/>
      <c r="I59" s="2320"/>
    </row>
    <row r="60" spans="1:13" ht="22.5" customHeight="1" thickBot="1">
      <c r="A60" s="1596"/>
      <c r="B60" s="2301" t="s">
        <v>1098</v>
      </c>
      <c r="C60" s="2302"/>
      <c r="D60" s="1671" t="str">
        <f>IF(D59="","", IF(D59&gt;100%,"A1",IF(AND(D59&lt;=100%,D59&gt;=90%),"A2",IF(AND(D59&lt;90%,D59&gt;=60%),"B1",IF(AND(D59&lt;60%,D59&gt;=30%),"B2","C")))))</f>
        <v>A2</v>
      </c>
      <c r="E60" s="1672"/>
      <c r="F60" s="2308" t="s">
        <v>1117</v>
      </c>
      <c r="G60" s="2310" t="str">
        <f>IF(D57=0,IF(G58="A1","A1",IF(G58="A2","A2",IF(G58="B1","B1",IF(G58="B2","B2",IF(G58="C","C",""))))),IF(G58="A1","B1",IF(G58="A2","B1",IF(G58="","",G58))))</f>
        <v>B1</v>
      </c>
    </row>
    <row r="61" spans="1:13" ht="36.75" customHeight="1" thickBot="1">
      <c r="A61" s="1596"/>
      <c r="B61" s="2312" t="s">
        <v>1118</v>
      </c>
      <c r="C61" s="2313"/>
      <c r="D61" s="1675" t="s">
        <v>1119</v>
      </c>
      <c r="E61" s="1676"/>
      <c r="F61" s="2309"/>
      <c r="G61" s="2311"/>
    </row>
    <row r="62" spans="1:13" ht="15" customHeight="1">
      <c r="A62" s="1596"/>
      <c r="F62" s="1596"/>
    </row>
    <row r="63" spans="1:13" ht="15" customHeight="1"/>
    <row r="64" spans="1:13" ht="22.5" customHeight="1"/>
    <row r="65" ht="22.5" customHeight="1"/>
    <row r="66" ht="22.5" customHeight="1"/>
    <row r="67" ht="22.5" customHeight="1"/>
    <row r="68" ht="22.5" customHeight="1"/>
    <row r="69" ht="22.5" customHeight="1"/>
    <row r="70" ht="22.5" customHeight="1"/>
  </sheetData>
  <mergeCells count="27">
    <mergeCell ref="B60:C60"/>
    <mergeCell ref="F60:F61"/>
    <mergeCell ref="G60:G61"/>
    <mergeCell ref="B61:C61"/>
    <mergeCell ref="B56:C56"/>
    <mergeCell ref="F56:K57"/>
    <mergeCell ref="B57:C57"/>
    <mergeCell ref="B58:C58"/>
    <mergeCell ref="F58:F59"/>
    <mergeCell ref="G58:G59"/>
    <mergeCell ref="I58:I59"/>
    <mergeCell ref="B59:C59"/>
    <mergeCell ref="B51:C51"/>
    <mergeCell ref="B52:C52"/>
    <mergeCell ref="B53:C53"/>
    <mergeCell ref="B54:C54"/>
    <mergeCell ref="B55:C55"/>
    <mergeCell ref="B46:C46"/>
    <mergeCell ref="B47:C47"/>
    <mergeCell ref="B48:C48"/>
    <mergeCell ref="B49:C49"/>
    <mergeCell ref="B50:C50"/>
    <mergeCell ref="G3:H3"/>
    <mergeCell ref="I3:K3"/>
    <mergeCell ref="C43:D43"/>
    <mergeCell ref="B45:D45"/>
    <mergeCell ref="G45:K45"/>
  </mergeCells>
  <conditionalFormatting sqref="D58">
    <cfRule type="cellIs" dxfId="70" priority="23" stopIfTrue="1" operator="equal">
      <formula>"C"</formula>
    </cfRule>
    <cfRule type="cellIs" dxfId="69" priority="24" stopIfTrue="1" operator="equal">
      <formula>"B2"</formula>
    </cfRule>
    <cfRule type="cellIs" dxfId="68" priority="25" stopIfTrue="1" operator="equal">
      <formula>"B1"</formula>
    </cfRule>
    <cfRule type="cellIs" dxfId="67" priority="26" stopIfTrue="1" operator="equal">
      <formula>"A2"</formula>
    </cfRule>
    <cfRule type="cellIs" dxfId="66" priority="27" stopIfTrue="1" operator="equal">
      <formula>"A1"</formula>
    </cfRule>
  </conditionalFormatting>
  <conditionalFormatting sqref="D60">
    <cfRule type="cellIs" dxfId="65" priority="18" stopIfTrue="1" operator="equal">
      <formula>"C"</formula>
    </cfRule>
    <cfRule type="cellIs" dxfId="64" priority="19" stopIfTrue="1" operator="equal">
      <formula>"B2"</formula>
    </cfRule>
    <cfRule type="cellIs" dxfId="63" priority="20" stopIfTrue="1" operator="equal">
      <formula>"B1"</formula>
    </cfRule>
    <cfRule type="cellIs" dxfId="62" priority="21" stopIfTrue="1" operator="equal">
      <formula>"A2"</formula>
    </cfRule>
    <cfRule type="cellIs" dxfId="61" priority="22" stopIfTrue="1" operator="equal">
      <formula>"A1"</formula>
    </cfRule>
  </conditionalFormatting>
  <conditionalFormatting sqref="D57">
    <cfRule type="cellIs" dxfId="60" priority="17" stopIfTrue="1" operator="greaterThanOrEqual">
      <formula>1</formula>
    </cfRule>
  </conditionalFormatting>
  <conditionalFormatting sqref="F47:K47">
    <cfRule type="expression" dxfId="59" priority="16">
      <formula>$F$47=$D$58</formula>
    </cfRule>
  </conditionalFormatting>
  <conditionalFormatting sqref="F48:K48">
    <cfRule type="expression" dxfId="58" priority="15">
      <formula>$F$48=$D$58</formula>
    </cfRule>
  </conditionalFormatting>
  <conditionalFormatting sqref="F49:K49">
    <cfRule type="expression" dxfId="57" priority="14">
      <formula>$F$49=$D$58</formula>
    </cfRule>
  </conditionalFormatting>
  <conditionalFormatting sqref="F50:K52">
    <cfRule type="expression" dxfId="56" priority="13">
      <formula>$F$50=$D$58</formula>
    </cfRule>
  </conditionalFormatting>
  <conditionalFormatting sqref="F53:K53">
    <cfRule type="expression" dxfId="55" priority="12">
      <formula>$F$53=$D$58</formula>
    </cfRule>
  </conditionalFormatting>
  <conditionalFormatting sqref="G46:G53">
    <cfRule type="expression" dxfId="54" priority="11">
      <formula>$G$46=$D$60</formula>
    </cfRule>
  </conditionalFormatting>
  <conditionalFormatting sqref="H46:H53">
    <cfRule type="expression" dxfId="53" priority="10">
      <formula>$H$46=$D$60</formula>
    </cfRule>
  </conditionalFormatting>
  <conditionalFormatting sqref="I46:I53">
    <cfRule type="expression" dxfId="52" priority="9">
      <formula>$I$46=$D$60</formula>
    </cfRule>
  </conditionalFormatting>
  <conditionalFormatting sqref="J46:J53">
    <cfRule type="expression" dxfId="51" priority="8">
      <formula>$J$46=$D$60</formula>
    </cfRule>
  </conditionalFormatting>
  <conditionalFormatting sqref="K46:K53">
    <cfRule type="expression" dxfId="50" priority="7">
      <formula>$K$46=$D$60</formula>
    </cfRule>
  </conditionalFormatting>
  <conditionalFormatting sqref="G60">
    <cfRule type="cellIs" dxfId="49" priority="2" stopIfTrue="1" operator="equal">
      <formula>"C"</formula>
    </cfRule>
    <cfRule type="cellIs" dxfId="48" priority="3" stopIfTrue="1" operator="equal">
      <formula>"B2"</formula>
    </cfRule>
    <cfRule type="cellIs" dxfId="47" priority="4" stopIfTrue="1" operator="equal">
      <formula>"B1"</formula>
    </cfRule>
    <cfRule type="cellIs" dxfId="46" priority="5" stopIfTrue="1" operator="equal">
      <formula>"A2"</formula>
    </cfRule>
    <cfRule type="cellIs" dxfId="45" priority="6" stopIfTrue="1" operator="equal">
      <formula>"A1"</formula>
    </cfRule>
  </conditionalFormatting>
  <conditionalFormatting sqref="G58:G59">
    <cfRule type="cellIs" dxfId="44" priority="1" stopIfTrue="1" operator="equal">
      <formula>FALSE</formula>
    </cfRule>
  </conditionalFormatting>
  <dataValidations count="1">
    <dataValidation type="list" allowBlank="1" showInputMessage="1" showErrorMessage="1" sqref="D5:D40 B5:C41">
      <formula1>"Yes, No"</formula1>
    </dataValidation>
  </dataValidations>
  <pageMargins left="0.7" right="0.7" top="0.75" bottom="0.75" header="0.3" footer="0.3"/>
  <pageSetup scale="5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sheetPr enableFormatConditionsCalculation="0">
    <tabColor indexed="40"/>
    <pageSetUpPr fitToPage="1"/>
  </sheetPr>
  <dimension ref="A1:IU68"/>
  <sheetViews>
    <sheetView view="pageBreakPreview" topLeftCell="A41" zoomScale="70" zoomScaleNormal="65" zoomScaleSheetLayoutView="70" workbookViewId="0">
      <selection activeCell="L42" sqref="L42"/>
    </sheetView>
  </sheetViews>
  <sheetFormatPr defaultColWidth="0" defaultRowHeight="12.75"/>
  <cols>
    <col min="1" max="1" width="15.42578125" style="69" customWidth="1"/>
    <col min="2" max="2" width="33.28515625" style="69" customWidth="1"/>
    <col min="3" max="3" width="30.140625" style="69" customWidth="1"/>
    <col min="4" max="4" width="20.7109375" style="69" customWidth="1"/>
    <col min="5" max="5" width="19.28515625" style="69" customWidth="1"/>
    <col min="6" max="6" width="20" style="69" customWidth="1"/>
    <col min="7" max="7" width="0.5703125" style="69" hidden="1" customWidth="1"/>
    <col min="8" max="8" width="6.5703125" style="69" hidden="1" customWidth="1"/>
    <col min="9" max="9" width="1" style="69" customWidth="1"/>
    <col min="10" max="10" width="18.140625" style="83" customWidth="1"/>
    <col min="11" max="11" width="21.7109375" style="69" customWidth="1"/>
    <col min="12" max="12" width="42.85546875" style="69" customWidth="1"/>
    <col min="13" max="23" width="9.140625" style="69" customWidth="1"/>
    <col min="24" max="24" width="0" style="69" hidden="1" customWidth="1"/>
    <col min="25" max="25" width="9.85546875" style="69" hidden="1" customWidth="1"/>
    <col min="26" max="28" width="0" style="69" hidden="1" customWidth="1"/>
    <col min="29" max="29" width="9.85546875" style="69" hidden="1" customWidth="1"/>
    <col min="30" max="251" width="0" style="69" hidden="1" customWidth="1"/>
    <col min="252" max="252" width="9.85546875" style="69" hidden="1" customWidth="1"/>
    <col min="253" max="255" width="0" style="69" hidden="1" customWidth="1"/>
    <col min="256" max="16384" width="9.85546875" style="69" hidden="1"/>
  </cols>
  <sheetData>
    <row r="1" spans="1:23" s="3" customFormat="1" ht="25.5" customHeight="1">
      <c r="A1" s="2166" t="s">
        <v>632</v>
      </c>
      <c r="B1" s="2166"/>
      <c r="C1" s="2166"/>
      <c r="D1" s="2166"/>
      <c r="E1" s="2166"/>
      <c r="F1" s="2166"/>
      <c r="G1" s="2166"/>
      <c r="H1" s="2166"/>
      <c r="I1" s="2166"/>
      <c r="J1" s="2166"/>
      <c r="K1" s="69"/>
      <c r="L1" s="69"/>
      <c r="M1" s="69"/>
      <c r="N1" s="69"/>
      <c r="O1" s="69"/>
      <c r="P1" s="69"/>
      <c r="Q1" s="69"/>
      <c r="R1" s="69"/>
      <c r="S1" s="69"/>
      <c r="T1" s="69"/>
      <c r="U1" s="69"/>
      <c r="V1" s="69"/>
      <c r="W1" s="69"/>
    </row>
    <row r="2" spans="1:23" s="13" customFormat="1" ht="27" customHeight="1" thickBot="1">
      <c r="A2" s="98" t="s">
        <v>507</v>
      </c>
      <c r="B2" s="72"/>
      <c r="C2" s="72"/>
      <c r="D2" s="72"/>
      <c r="E2" s="72"/>
      <c r="F2" s="72"/>
      <c r="G2" s="72"/>
      <c r="H2" s="72"/>
      <c r="I2" s="72"/>
      <c r="J2" s="72"/>
      <c r="K2" s="72"/>
      <c r="L2" s="72"/>
      <c r="M2" s="69"/>
      <c r="N2" s="69"/>
      <c r="O2" s="69"/>
      <c r="P2" s="69"/>
      <c r="Q2" s="69"/>
      <c r="R2" s="69"/>
      <c r="S2" s="69"/>
      <c r="T2" s="69"/>
      <c r="U2" s="69"/>
      <c r="V2" s="69"/>
      <c r="W2" s="69"/>
    </row>
    <row r="3" spans="1:23" s="4" customFormat="1" ht="27.75" customHeight="1" thickBot="1">
      <c r="A3" s="1787" t="s">
        <v>422</v>
      </c>
      <c r="B3" s="1788"/>
      <c r="C3" s="1817" t="str">
        <f>IF('LFA_Programmatic Progress_1A'!C7="","",'LFA_Programmatic Progress_1A'!C7)</f>
        <v>BTN-607-G03-H</v>
      </c>
      <c r="D3" s="1818"/>
      <c r="E3" s="1818"/>
      <c r="F3" s="1819"/>
      <c r="G3" s="73"/>
      <c r="H3" s="73"/>
      <c r="I3" s="73"/>
      <c r="J3" s="73"/>
      <c r="K3" s="73"/>
      <c r="L3" s="73"/>
      <c r="M3" s="220"/>
      <c r="N3" s="220"/>
      <c r="O3" s="220"/>
      <c r="P3" s="220"/>
      <c r="Q3" s="220"/>
      <c r="R3" s="220"/>
      <c r="S3" s="220"/>
      <c r="T3" s="220"/>
      <c r="U3" s="220"/>
      <c r="V3" s="220"/>
      <c r="W3" s="220"/>
    </row>
    <row r="4" spans="1:23" s="4" customFormat="1" ht="15" customHeight="1">
      <c r="A4" s="492" t="s">
        <v>624</v>
      </c>
      <c r="B4" s="512"/>
      <c r="C4" s="53" t="s">
        <v>630</v>
      </c>
      <c r="D4" s="504" t="str">
        <f>IF('LFA_Programmatic Progress_1A'!D12="Select","",'LFA_Programmatic Progress_1A'!D12)</f>
        <v>Quarter</v>
      </c>
      <c r="E4" s="5" t="s">
        <v>631</v>
      </c>
      <c r="F4" s="47">
        <f>IF('LFA_Programmatic Progress_1A'!F12="Select","",'LFA_Programmatic Progress_1A'!F12)</f>
        <v>16</v>
      </c>
      <c r="G4" s="73"/>
      <c r="H4" s="73"/>
      <c r="I4" s="73"/>
      <c r="J4" s="73"/>
      <c r="K4" s="73"/>
      <c r="L4" s="73"/>
      <c r="M4" s="220"/>
      <c r="N4" s="220"/>
      <c r="O4" s="220"/>
      <c r="P4" s="220"/>
      <c r="Q4" s="220"/>
      <c r="R4" s="220"/>
      <c r="S4" s="220"/>
      <c r="T4" s="220"/>
      <c r="U4" s="220"/>
      <c r="V4" s="220"/>
      <c r="W4" s="220"/>
    </row>
    <row r="5" spans="1:23" s="4" customFormat="1" ht="15" customHeight="1">
      <c r="A5" s="513" t="s">
        <v>625</v>
      </c>
      <c r="B5" s="40"/>
      <c r="C5" s="54" t="s">
        <v>593</v>
      </c>
      <c r="D5" s="519">
        <f>IF('LFA_Programmatic Progress_1A'!D13="","",'LFA_Programmatic Progress_1A'!D13)</f>
        <v>40848</v>
      </c>
      <c r="E5" s="5" t="s">
        <v>611</v>
      </c>
      <c r="F5" s="520">
        <f>IF('LFA_Programmatic Progress_1A'!F13="","",'LFA_Programmatic Progress_1A'!F13)</f>
        <v>40939</v>
      </c>
      <c r="G5" s="73"/>
      <c r="H5" s="73"/>
      <c r="I5" s="73"/>
      <c r="J5" s="73"/>
      <c r="K5" s="73"/>
      <c r="L5" s="73"/>
      <c r="M5" s="220"/>
      <c r="N5" s="220"/>
      <c r="O5" s="220"/>
      <c r="P5" s="220"/>
      <c r="Q5" s="220"/>
      <c r="R5" s="220"/>
      <c r="S5" s="220"/>
      <c r="T5" s="220"/>
      <c r="U5" s="220"/>
      <c r="V5" s="220"/>
      <c r="W5" s="220"/>
    </row>
    <row r="6" spans="1:23" s="4" customFormat="1" ht="15" customHeight="1" thickBot="1">
      <c r="A6" s="55" t="s">
        <v>626</v>
      </c>
      <c r="B6" s="41"/>
      <c r="C6" s="1830">
        <f>IF('LFA_Programmatic Progress_1A'!C14="Select","",'LFA_Programmatic Progress_1A'!C14)</f>
        <v>16</v>
      </c>
      <c r="D6" s="1831"/>
      <c r="E6" s="1831"/>
      <c r="F6" s="1832"/>
      <c r="G6" s="73"/>
      <c r="H6" s="73"/>
      <c r="I6" s="73"/>
      <c r="J6" s="73"/>
      <c r="K6" s="73"/>
      <c r="L6" s="73"/>
      <c r="M6" s="220"/>
      <c r="N6" s="220"/>
      <c r="O6" s="220"/>
      <c r="P6" s="220"/>
      <c r="Q6" s="220"/>
      <c r="R6" s="220"/>
      <c r="S6" s="220"/>
      <c r="T6" s="220"/>
      <c r="U6" s="220"/>
      <c r="V6" s="220"/>
      <c r="W6" s="220"/>
    </row>
    <row r="7" spans="1:23" s="4" customFormat="1" ht="9" customHeight="1">
      <c r="A7" s="201"/>
      <c r="B7" s="202"/>
      <c r="C7" s="52"/>
      <c r="D7" s="207"/>
      <c r="E7" s="208"/>
      <c r="F7" s="52"/>
      <c r="G7" s="170"/>
      <c r="H7" s="170"/>
      <c r="I7" s="210"/>
      <c r="J7" s="210"/>
      <c r="K7" s="73"/>
      <c r="L7" s="73"/>
      <c r="M7" s="220"/>
      <c r="N7" s="220"/>
      <c r="O7" s="220"/>
      <c r="P7" s="220"/>
      <c r="Q7" s="220"/>
      <c r="R7" s="220"/>
      <c r="S7" s="220"/>
      <c r="T7" s="220"/>
      <c r="U7" s="220"/>
      <c r="V7" s="220"/>
      <c r="W7" s="220"/>
    </row>
    <row r="8" spans="1:23" s="4" customFormat="1" ht="19.5" customHeight="1">
      <c r="A8" s="200" t="s">
        <v>576</v>
      </c>
      <c r="B8" s="203"/>
      <c r="C8" s="206"/>
      <c r="D8" s="206"/>
      <c r="E8" s="209"/>
      <c r="F8" s="204"/>
      <c r="G8" s="205"/>
      <c r="H8" s="205"/>
      <c r="I8" s="211"/>
      <c r="J8" s="212"/>
      <c r="K8" s="73"/>
      <c r="L8" s="73"/>
      <c r="M8" s="220"/>
      <c r="N8" s="220"/>
      <c r="O8" s="220"/>
      <c r="P8" s="220"/>
      <c r="Q8" s="220"/>
      <c r="R8" s="220"/>
      <c r="S8" s="220"/>
      <c r="T8" s="220"/>
      <c r="U8" s="220"/>
      <c r="V8" s="220"/>
      <c r="W8" s="220"/>
    </row>
    <row r="9" spans="1:23" s="535" customFormat="1" ht="5.25" customHeight="1">
      <c r="A9" s="213"/>
      <c r="B9" s="610"/>
      <c r="C9" s="611"/>
      <c r="D9" s="611"/>
      <c r="E9" s="611"/>
      <c r="F9" s="611"/>
      <c r="I9" s="611"/>
      <c r="J9" s="610"/>
      <c r="L9" s="1021"/>
      <c r="M9" s="992"/>
      <c r="N9" s="992"/>
      <c r="O9" s="992"/>
      <c r="P9" s="992"/>
      <c r="Q9" s="992"/>
      <c r="R9" s="992"/>
      <c r="S9" s="992"/>
      <c r="T9" s="992"/>
      <c r="U9" s="992"/>
      <c r="V9" s="992"/>
      <c r="W9" s="992"/>
    </row>
    <row r="10" spans="1:23" s="17" customFormat="1" ht="24.75" customHeight="1">
      <c r="A10" s="1896" t="s">
        <v>220</v>
      </c>
      <c r="B10" s="1897"/>
      <c r="C10" s="1897"/>
      <c r="D10" s="1897"/>
      <c r="E10" s="1897"/>
      <c r="F10" s="1897"/>
      <c r="G10" s="1897"/>
      <c r="H10" s="1897"/>
      <c r="I10" s="1897"/>
      <c r="J10" s="1897"/>
      <c r="K10" s="1897"/>
      <c r="L10" s="1897"/>
      <c r="M10" s="1022"/>
      <c r="N10" s="1022"/>
      <c r="O10" s="1022"/>
      <c r="P10" s="1022"/>
      <c r="Q10" s="1022"/>
      <c r="R10" s="1022"/>
      <c r="S10" s="1022"/>
      <c r="T10" s="1022"/>
      <c r="U10" s="1022"/>
      <c r="V10" s="1022"/>
      <c r="W10" s="1022"/>
    </row>
    <row r="11" spans="1:23" s="17" customFormat="1" ht="27" customHeight="1">
      <c r="A11" s="2369" t="s">
        <v>287</v>
      </c>
      <c r="B11" s="2370"/>
      <c r="C11" s="2370"/>
      <c r="D11" s="2370"/>
      <c r="E11" s="2370"/>
      <c r="F11" s="2370"/>
      <c r="G11" s="2370"/>
      <c r="H11" s="2370"/>
      <c r="I11" s="2370"/>
      <c r="J11" s="2370"/>
      <c r="K11" s="2370"/>
      <c r="L11" s="2370"/>
      <c r="M11" s="1022"/>
      <c r="N11" s="1022"/>
      <c r="O11" s="1022"/>
      <c r="P11" s="1022"/>
      <c r="Q11" s="1022"/>
      <c r="R11" s="1022"/>
      <c r="S11" s="1022"/>
      <c r="T11" s="1022"/>
      <c r="U11" s="1022"/>
      <c r="V11" s="1022"/>
      <c r="W11" s="1022"/>
    </row>
    <row r="12" spans="1:23" s="909" customFormat="1" ht="41.25" customHeight="1">
      <c r="A12" s="2369" t="s">
        <v>288</v>
      </c>
      <c r="B12" s="2388"/>
      <c r="C12" s="2388"/>
      <c r="D12" s="2388"/>
      <c r="E12" s="2388"/>
      <c r="F12" s="2388"/>
      <c r="G12" s="2388"/>
      <c r="H12" s="2388"/>
      <c r="I12" s="2388"/>
      <c r="J12" s="2388"/>
      <c r="K12" s="2388"/>
      <c r="L12" s="2389"/>
      <c r="M12" s="1023"/>
      <c r="N12" s="1023"/>
      <c r="O12" s="1023"/>
      <c r="P12" s="1023"/>
      <c r="Q12" s="1023"/>
      <c r="R12" s="1023"/>
      <c r="S12" s="1023"/>
      <c r="T12" s="1023"/>
      <c r="U12" s="1023"/>
      <c r="V12" s="1023"/>
      <c r="W12" s="1023"/>
    </row>
    <row r="13" spans="1:23" s="909" customFormat="1" ht="31.5" customHeight="1" thickBot="1">
      <c r="A13" s="2390" t="s">
        <v>331</v>
      </c>
      <c r="B13" s="2390"/>
      <c r="C13" s="2390"/>
      <c r="D13" s="2390"/>
      <c r="E13" s="2390"/>
      <c r="F13" s="2390"/>
      <c r="G13" s="2390"/>
      <c r="H13" s="2390"/>
      <c r="I13" s="2390"/>
      <c r="J13" s="2390"/>
      <c r="K13" s="2390"/>
      <c r="L13" s="2390"/>
      <c r="M13" s="1023"/>
      <c r="N13" s="1023"/>
      <c r="O13" s="1023"/>
      <c r="P13" s="1023"/>
      <c r="Q13" s="1023"/>
      <c r="R13" s="1023"/>
      <c r="S13" s="1023"/>
      <c r="T13" s="1023"/>
      <c r="U13" s="1023"/>
      <c r="V13" s="1023"/>
      <c r="W13" s="1023"/>
    </row>
    <row r="14" spans="1:23" s="184" customFormat="1" ht="23.25" customHeight="1" thickBot="1">
      <c r="A14" s="214"/>
      <c r="B14" s="215"/>
      <c r="C14" s="216"/>
      <c r="D14" s="382" t="s">
        <v>147</v>
      </c>
      <c r="E14" s="2371" t="s">
        <v>148</v>
      </c>
      <c r="F14" s="2372"/>
      <c r="G14" s="2372"/>
      <c r="H14" s="2372"/>
      <c r="I14" s="2372"/>
      <c r="J14" s="2372"/>
      <c r="K14" s="2373"/>
      <c r="L14" s="2374"/>
      <c r="M14" s="1024"/>
      <c r="N14" s="1024"/>
      <c r="O14" s="1024"/>
      <c r="P14" s="1024"/>
      <c r="Q14" s="1024"/>
      <c r="R14" s="1024"/>
      <c r="S14" s="1024"/>
      <c r="T14" s="1024"/>
      <c r="U14" s="1024"/>
      <c r="V14" s="1024"/>
      <c r="W14" s="1024"/>
    </row>
    <row r="15" spans="1:23" s="13" customFormat="1" ht="47.25" customHeight="1" thickBot="1">
      <c r="A15" s="2378" t="s">
        <v>597</v>
      </c>
      <c r="B15" s="2379"/>
      <c r="C15" s="2380"/>
      <c r="D15" s="472" t="s">
        <v>354</v>
      </c>
      <c r="E15" s="472" t="s">
        <v>354</v>
      </c>
      <c r="F15" s="2375" t="s">
        <v>132</v>
      </c>
      <c r="G15" s="2376"/>
      <c r="H15" s="2376"/>
      <c r="I15" s="2376"/>
      <c r="J15" s="2376"/>
      <c r="K15" s="2376"/>
      <c r="L15" s="2377"/>
      <c r="M15" s="14"/>
      <c r="N15" s="14"/>
      <c r="O15" s="14"/>
      <c r="P15" s="14"/>
      <c r="Q15" s="14"/>
      <c r="R15" s="14"/>
      <c r="S15" s="14"/>
      <c r="T15" s="14"/>
      <c r="U15" s="14"/>
      <c r="V15" s="14"/>
      <c r="W15" s="14"/>
    </row>
    <row r="16" spans="1:23" s="3" customFormat="1" ht="69.75" customHeight="1">
      <c r="A16" s="2385" t="str">
        <f>IF('PR_Grant Management_2'!A14="","",'PR_Grant Management_2'!A14)</f>
        <v>Provide evidence in form and substance satisfactory to the Global Fund that the Principal Recipient has recruited or assigned a Monitoring &amp; Evalaution (M&amp;E) coordinator</v>
      </c>
      <c r="B16" s="2386"/>
      <c r="C16" s="2387"/>
      <c r="D16" s="743" t="str">
        <f>IF('PR_Grant Management_2'!F14="","",'PR_Grant Management_2'!F14)</f>
        <v>Yes</v>
      </c>
      <c r="E16" s="744" t="s">
        <v>1132</v>
      </c>
      <c r="F16" s="2382" t="s">
        <v>1121</v>
      </c>
      <c r="G16" s="2383"/>
      <c r="H16" s="2383"/>
      <c r="I16" s="2383"/>
      <c r="J16" s="2383"/>
      <c r="K16" s="2383"/>
      <c r="L16" s="2384"/>
      <c r="M16" s="69"/>
      <c r="N16" s="69"/>
      <c r="O16" s="69"/>
      <c r="P16" s="69"/>
      <c r="Q16" s="69"/>
      <c r="R16" s="69"/>
      <c r="S16" s="69"/>
      <c r="T16" s="69"/>
      <c r="U16" s="69"/>
      <c r="V16" s="69"/>
      <c r="W16" s="69"/>
    </row>
    <row r="17" spans="1:23" s="3" customFormat="1" ht="110.25" customHeight="1">
      <c r="A17" s="2353" t="str">
        <f>IF('PR_Grant Management_2'!A15="","",'PR_Grant Management_2'!A15)</f>
        <v xml:space="preserve">Provide evidence in form and substance satisfactory to the Global Fund that the Principal Recipient has standardised formats &amp; guidelines for data collection and reporting through out the country; and </v>
      </c>
      <c r="B17" s="2354"/>
      <c r="C17" s="2355"/>
      <c r="D17" s="393" t="str">
        <f>IF('PR_Grant Management_2'!F15="","",'PR_Grant Management_2'!F15)</f>
        <v>Yes</v>
      </c>
      <c r="E17" s="473" t="s">
        <v>1132</v>
      </c>
      <c r="F17" s="2381" t="s">
        <v>1122</v>
      </c>
      <c r="G17" s="2236"/>
      <c r="H17" s="2236"/>
      <c r="I17" s="2236"/>
      <c r="J17" s="2236"/>
      <c r="K17" s="2236"/>
      <c r="L17" s="2237"/>
      <c r="M17" s="69"/>
      <c r="N17" s="69"/>
      <c r="O17" s="69"/>
      <c r="P17" s="69"/>
      <c r="Q17" s="69"/>
      <c r="R17" s="69"/>
      <c r="S17" s="69"/>
      <c r="T17" s="69"/>
      <c r="U17" s="69"/>
      <c r="V17" s="69"/>
      <c r="W17" s="69"/>
    </row>
    <row r="18" spans="1:23" s="3" customFormat="1" ht="61.5" customHeight="1">
      <c r="A18" s="2353" t="str">
        <f>IF('PR_Grant Management_2'!A16="","",'PR_Grant Management_2'!A16)</f>
        <v>Provide evidence, in form and substance satisfactory to the Global Fund, the the Principal Recipient has implemented and M&amp;E training and supervision plan for reporting units</v>
      </c>
      <c r="B18" s="2354"/>
      <c r="C18" s="2355"/>
      <c r="D18" s="393" t="str">
        <f>IF('PR_Grant Management_2'!F16="","",'PR_Grant Management_2'!F16)</f>
        <v>Yes</v>
      </c>
      <c r="E18" s="473" t="s">
        <v>1132</v>
      </c>
      <c r="F18" s="2362" t="s">
        <v>1123</v>
      </c>
      <c r="G18" s="2362"/>
      <c r="H18" s="2362"/>
      <c r="I18" s="2362"/>
      <c r="J18" s="2362"/>
      <c r="K18" s="2362"/>
      <c r="L18" s="2363"/>
      <c r="M18" s="69"/>
      <c r="N18" s="69"/>
      <c r="O18" s="69"/>
      <c r="P18" s="69"/>
      <c r="Q18" s="69"/>
      <c r="R18" s="69"/>
      <c r="S18" s="69"/>
      <c r="T18" s="69"/>
      <c r="U18" s="69"/>
      <c r="V18" s="69"/>
      <c r="W18" s="69"/>
    </row>
    <row r="19" spans="1:23" s="3" customFormat="1" ht="61.5" customHeight="1">
      <c r="A19" s="2353" t="str">
        <f>IF('PR_Grant Management_2'!A17="","",'PR_Grant Management_2'!A17)</f>
        <v>The disbursement by the GF or use by PR of global funds to finance the procurement of Health products (as defined in Article 19 of the Standard Terms and Condition of this Agreement), is subject to the following conditions:</v>
      </c>
      <c r="B19" s="2354"/>
      <c r="C19" s="2355"/>
      <c r="D19" s="393" t="str">
        <f>IF('PR_Grant Management_2'!F17="","",'PR_Grant Management_2'!F17)</f>
        <v>Yes</v>
      </c>
      <c r="E19" s="473" t="s">
        <v>1132</v>
      </c>
      <c r="F19" s="2362" t="s">
        <v>1124</v>
      </c>
      <c r="G19" s="2362"/>
      <c r="H19" s="2362"/>
      <c r="I19" s="2362"/>
      <c r="J19" s="2362"/>
      <c r="K19" s="2362"/>
      <c r="L19" s="2363"/>
      <c r="M19" s="69"/>
      <c r="N19" s="69"/>
      <c r="O19" s="69"/>
      <c r="P19" s="69"/>
      <c r="Q19" s="69"/>
      <c r="R19" s="69"/>
      <c r="S19" s="69"/>
      <c r="T19" s="69"/>
      <c r="U19" s="69"/>
      <c r="V19" s="69"/>
      <c r="W19" s="69"/>
    </row>
    <row r="20" spans="1:23" s="3" customFormat="1" ht="66.75" customHeight="1">
      <c r="A20" s="2353" t="str">
        <f>IF('PR_Grant Management_2'!A18="","",'PR_Grant Management_2'!A18)</f>
        <v>(a) The Principal Recipient shall submit to the Global Fund a plan for procurement , use &amp; supply management of Health Products for phase 2 of program (Updated PSM Plan) in accordance with Global Fund guidelines for review and approval by the Global Fund. The Updated PSM shall:</v>
      </c>
      <c r="B20" s="2354"/>
      <c r="C20" s="2355"/>
      <c r="D20" s="393" t="str">
        <f>IF('PR_Grant Management_2'!F18="","",'PR_Grant Management_2'!F18)</f>
        <v>Yes</v>
      </c>
      <c r="E20" s="1682"/>
      <c r="F20" s="2367"/>
      <c r="G20" s="2367"/>
      <c r="H20" s="2367"/>
      <c r="I20" s="2367"/>
      <c r="J20" s="2367"/>
      <c r="K20" s="2367"/>
      <c r="L20" s="2368"/>
      <c r="M20" s="69"/>
      <c r="N20" s="69"/>
      <c r="O20" s="69"/>
      <c r="P20" s="69"/>
      <c r="Q20" s="69"/>
      <c r="R20" s="69"/>
      <c r="S20" s="69"/>
      <c r="T20" s="69"/>
      <c r="U20" s="69"/>
      <c r="V20" s="69"/>
      <c r="W20" s="69"/>
    </row>
    <row r="21" spans="1:23" s="3" customFormat="1" ht="60.75" customHeight="1">
      <c r="A21" s="2353" t="str">
        <f>IF('PR_Grant Management_2'!A19="","",'PR_Grant Management_2'!A19)</f>
        <v xml:space="preserve">(i) address the deficiencies identified during the Phase 1 review in consultation with the GF, particularly those deficiencies relating to procurement process, quality assurance systems, storage and distribution as well as inventory mangement; and </v>
      </c>
      <c r="B21" s="2354"/>
      <c r="C21" s="2355"/>
      <c r="D21" s="393" t="str">
        <f>IF('PR_Grant Management_2'!F19="","",'PR_Grant Management_2'!F19)</f>
        <v>Yes</v>
      </c>
      <c r="E21" s="473" t="s">
        <v>1132</v>
      </c>
      <c r="F21" s="2362" t="s">
        <v>1125</v>
      </c>
      <c r="G21" s="2362"/>
      <c r="H21" s="2362"/>
      <c r="I21" s="2362"/>
      <c r="J21" s="2362"/>
      <c r="K21" s="2362"/>
      <c r="L21" s="2363"/>
      <c r="M21" s="69"/>
      <c r="N21" s="69"/>
      <c r="O21" s="69"/>
      <c r="P21" s="69"/>
      <c r="Q21" s="69"/>
      <c r="R21" s="69"/>
      <c r="S21" s="69"/>
      <c r="T21" s="69"/>
      <c r="U21" s="69"/>
      <c r="V21" s="69"/>
      <c r="W21" s="69"/>
    </row>
    <row r="22" spans="1:23" s="3" customFormat="1" ht="48.75" customHeight="1">
      <c r="A22" s="2353" t="str">
        <f>IF('PR_Grant Management_2'!A20="","",'PR_Grant Management_2'!A20)</f>
        <v xml:space="preserve">(ii) include assumptions on forecasting for ARVs and testing products in order to ensure alignment with the performance framework and work plan and budget, where appropriate; and </v>
      </c>
      <c r="B22" s="2354"/>
      <c r="C22" s="2355"/>
      <c r="D22" s="393" t="str">
        <f>IF('PR_Grant Management_2'!F20="","",'PR_Grant Management_2'!F20)</f>
        <v>Yes</v>
      </c>
      <c r="E22" s="473" t="s">
        <v>1132</v>
      </c>
      <c r="F22" s="2362" t="s">
        <v>1126</v>
      </c>
      <c r="G22" s="2362"/>
      <c r="H22" s="2362"/>
      <c r="I22" s="2362"/>
      <c r="J22" s="2362"/>
      <c r="K22" s="2362"/>
      <c r="L22" s="2363"/>
      <c r="M22" s="69"/>
      <c r="N22" s="69"/>
      <c r="O22" s="69"/>
      <c r="P22" s="69"/>
      <c r="Q22" s="69"/>
      <c r="R22" s="69"/>
      <c r="S22" s="69"/>
      <c r="T22" s="69"/>
      <c r="U22" s="69"/>
      <c r="V22" s="69"/>
      <c r="W22" s="69"/>
    </row>
    <row r="23" spans="1:23" s="3" customFormat="1" ht="41.25" customHeight="1">
      <c r="A23" s="2353" t="str">
        <f>IF('PR_Grant Management_2'!A21="","",'PR_Grant Management_2'!A21)</f>
        <v xml:space="preserve">(b) The written approval of the Global Fund of the updated PSM plan </v>
      </c>
      <c r="B23" s="2354"/>
      <c r="C23" s="2355"/>
      <c r="D23" s="393" t="str">
        <f>IF('PR_Grant Management_2'!F21="","",'PR_Grant Management_2'!F21)</f>
        <v>Yes</v>
      </c>
      <c r="E23" s="473" t="s">
        <v>1132</v>
      </c>
      <c r="F23" s="2362" t="s">
        <v>1127</v>
      </c>
      <c r="G23" s="2362"/>
      <c r="H23" s="2362"/>
      <c r="I23" s="2362"/>
      <c r="J23" s="2362"/>
      <c r="K23" s="2362"/>
      <c r="L23" s="2363"/>
      <c r="M23" s="69"/>
      <c r="N23" s="69"/>
      <c r="O23" s="69"/>
      <c r="P23" s="69"/>
      <c r="Q23" s="69"/>
      <c r="R23" s="69"/>
      <c r="S23" s="69"/>
      <c r="T23" s="69"/>
      <c r="U23" s="69"/>
      <c r="V23" s="69"/>
      <c r="W23" s="69"/>
    </row>
    <row r="24" spans="1:23" s="3" customFormat="1" ht="60.75" customHeight="1">
      <c r="A24" s="2353" t="str">
        <f>IF('PR_Grant Management_2'!A22="","",'PR_Grant Management_2'!A22)</f>
        <v>The Principal Recipient acknowledges and agrees that Ministry of Health will be responsible for the implementation of the Program</v>
      </c>
      <c r="B24" s="2354"/>
      <c r="C24" s="2355"/>
      <c r="D24" s="393" t="str">
        <f>IF('PR_Grant Management_2'!F22="","",'PR_Grant Management_2'!F22)</f>
        <v>Yes</v>
      </c>
      <c r="E24" s="473" t="s">
        <v>1132</v>
      </c>
      <c r="F24" s="2362" t="s">
        <v>1128</v>
      </c>
      <c r="G24" s="2362"/>
      <c r="H24" s="2362"/>
      <c r="I24" s="2362"/>
      <c r="J24" s="2362"/>
      <c r="K24" s="2362"/>
      <c r="L24" s="2363"/>
      <c r="M24" s="69"/>
      <c r="N24" s="69"/>
      <c r="O24" s="69"/>
      <c r="P24" s="69"/>
      <c r="Q24" s="69"/>
      <c r="R24" s="69"/>
      <c r="S24" s="69"/>
      <c r="T24" s="69"/>
      <c r="U24" s="69"/>
      <c r="V24" s="69"/>
      <c r="W24" s="69"/>
    </row>
    <row r="25" spans="1:23" s="3" customFormat="1" ht="93.75" customHeight="1">
      <c r="A25" s="2353" t="str">
        <f>IF('PR_Grant Management_2'!A23="","",'PR_Grant Management_2'!A23)</f>
        <v xml:space="preserve">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 program officer, (2) M&amp; E Coordinator, (3) Finance Officer/Accoutant (4) Project Manager </v>
      </c>
      <c r="B25" s="2354"/>
      <c r="C25" s="2355"/>
      <c r="D25" s="393" t="str">
        <f>IF('PR_Grant Management_2'!F23="","",'PR_Grant Management_2'!F23)</f>
        <v>Yes</v>
      </c>
      <c r="E25" s="473" t="s">
        <v>1132</v>
      </c>
      <c r="F25" s="2362" t="s">
        <v>1129</v>
      </c>
      <c r="G25" s="2362"/>
      <c r="H25" s="2362"/>
      <c r="I25" s="2362"/>
      <c r="J25" s="2362"/>
      <c r="K25" s="2362"/>
      <c r="L25" s="2363"/>
      <c r="M25" s="69"/>
      <c r="N25" s="69"/>
      <c r="O25" s="69"/>
      <c r="P25" s="69"/>
      <c r="Q25" s="69"/>
      <c r="R25" s="69"/>
      <c r="S25" s="69"/>
      <c r="T25" s="69"/>
      <c r="U25" s="69"/>
      <c r="V25" s="69"/>
      <c r="W25" s="69"/>
    </row>
    <row r="26" spans="1:23" s="3" customFormat="1" ht="79.5" customHeight="1">
      <c r="A26" s="2353" t="str">
        <f>IF('PR_Grant Management_2'!A24="","",'PR_Grant Management_2'!A24)</f>
        <v>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v>
      </c>
      <c r="B26" s="2354"/>
      <c r="C26" s="2355"/>
      <c r="D26" s="393" t="str">
        <f>IF('PR_Grant Management_2'!F24="","",'PR_Grant Management_2'!F24)</f>
        <v>Yes</v>
      </c>
      <c r="E26" s="473" t="s">
        <v>1132</v>
      </c>
      <c r="F26" s="2362" t="s">
        <v>1130</v>
      </c>
      <c r="G26" s="2362"/>
      <c r="H26" s="2362"/>
      <c r="I26" s="2362"/>
      <c r="J26" s="2362"/>
      <c r="K26" s="2362"/>
      <c r="L26" s="2363"/>
      <c r="M26" s="69"/>
      <c r="N26" s="69"/>
      <c r="O26" s="69"/>
      <c r="P26" s="69"/>
      <c r="Q26" s="69"/>
      <c r="R26" s="69"/>
      <c r="S26" s="69"/>
      <c r="T26" s="69"/>
      <c r="U26" s="69"/>
      <c r="V26" s="69"/>
      <c r="W26" s="69"/>
    </row>
    <row r="27" spans="1:23" s="3" customFormat="1" ht="59.25" customHeight="1">
      <c r="A27" s="2364" t="str">
        <f>IF('PR_Grant Management_2'!A25="","",'PR_Grant Management_2'!A25)</f>
        <v>Following each procurement of health products the Principal Recipient shall update the informatin for key health products in the Global Fund's on-line Price and Quality Reporting (PQR) database, in accordance with Global Fund guidelines on Price and Quality Reporting.</v>
      </c>
      <c r="B27" s="2365"/>
      <c r="C27" s="2366"/>
      <c r="D27" s="1683"/>
      <c r="E27" s="473" t="s">
        <v>1132</v>
      </c>
      <c r="F27" s="2362" t="s">
        <v>1131</v>
      </c>
      <c r="G27" s="2362"/>
      <c r="H27" s="2362"/>
      <c r="I27" s="2362"/>
      <c r="J27" s="2362"/>
      <c r="K27" s="2362"/>
      <c r="L27" s="2363"/>
      <c r="M27" s="69"/>
      <c r="N27" s="69"/>
      <c r="O27" s="69"/>
      <c r="P27" s="69"/>
      <c r="Q27" s="69"/>
      <c r="R27" s="69"/>
      <c r="S27" s="69"/>
      <c r="T27" s="69"/>
      <c r="U27" s="69"/>
      <c r="V27" s="69"/>
      <c r="W27" s="69"/>
    </row>
    <row r="28" spans="1:23" s="359" customFormat="1" ht="17.25" customHeight="1">
      <c r="A28" s="683"/>
      <c r="B28" s="684"/>
      <c r="C28" s="685"/>
      <c r="D28" s="684"/>
      <c r="E28" s="684"/>
      <c r="F28" s="684"/>
      <c r="G28" s="685"/>
      <c r="H28" s="685"/>
      <c r="I28" s="683"/>
      <c r="J28" s="685"/>
      <c r="K28" s="686"/>
      <c r="L28" s="685"/>
    </row>
    <row r="29" spans="1:23" s="3" customFormat="1" ht="25.5" customHeight="1">
      <c r="A29" s="1896" t="s">
        <v>221</v>
      </c>
      <c r="B29" s="1897"/>
      <c r="C29" s="1897"/>
      <c r="D29" s="1897"/>
      <c r="E29" s="1897"/>
      <c r="F29" s="1897"/>
      <c r="G29" s="1897"/>
      <c r="H29" s="1897"/>
      <c r="I29" s="1897"/>
      <c r="J29" s="1897"/>
      <c r="K29" s="1897"/>
      <c r="L29" s="1897"/>
      <c r="M29" s="69"/>
      <c r="N29" s="69"/>
      <c r="O29" s="69"/>
      <c r="P29" s="69"/>
      <c r="Q29" s="69"/>
      <c r="R29" s="69"/>
      <c r="S29" s="69"/>
      <c r="T29" s="69"/>
      <c r="U29" s="69"/>
      <c r="V29" s="69"/>
      <c r="W29" s="69"/>
    </row>
    <row r="30" spans="1:23" s="3" customFormat="1" ht="5.25" customHeight="1">
      <c r="A30" s="79"/>
      <c r="B30" s="77"/>
      <c r="C30" s="77"/>
      <c r="D30" s="77"/>
      <c r="E30" s="77"/>
      <c r="F30" s="77"/>
      <c r="G30" s="77"/>
      <c r="H30" s="77"/>
      <c r="I30" s="77"/>
      <c r="J30" s="77"/>
      <c r="K30" s="77"/>
      <c r="L30" s="77"/>
      <c r="M30" s="69"/>
      <c r="N30" s="69"/>
      <c r="O30" s="69"/>
      <c r="P30" s="69"/>
      <c r="Q30" s="69"/>
      <c r="R30" s="69"/>
      <c r="S30" s="69"/>
      <c r="T30" s="69"/>
      <c r="U30" s="69"/>
      <c r="V30" s="69"/>
      <c r="W30" s="69"/>
    </row>
    <row r="31" spans="1:23" s="3" customFormat="1" ht="24" customHeight="1" thickBot="1">
      <c r="A31" s="2360" t="s">
        <v>346</v>
      </c>
      <c r="B31" s="2361"/>
      <c r="C31" s="2361"/>
      <c r="D31" s="2361"/>
      <c r="E31" s="2361"/>
      <c r="F31" s="2361"/>
      <c r="G31" s="2361"/>
      <c r="H31" s="2361"/>
      <c r="I31" s="2361"/>
      <c r="J31" s="2361"/>
      <c r="K31" s="2361"/>
      <c r="L31" s="2361"/>
      <c r="M31" s="69"/>
      <c r="N31" s="69"/>
      <c r="O31" s="69"/>
      <c r="P31" s="69"/>
      <c r="Q31" s="69"/>
      <c r="R31" s="69"/>
      <c r="S31" s="69"/>
      <c r="T31" s="69"/>
      <c r="U31" s="69"/>
      <c r="V31" s="69"/>
      <c r="W31" s="69"/>
    </row>
    <row r="32" spans="1:23" s="3" customFormat="1" ht="42" customHeight="1">
      <c r="A32" s="1851" t="s">
        <v>127</v>
      </c>
      <c r="B32" s="1843"/>
      <c r="C32" s="1843"/>
      <c r="D32" s="2356" t="s">
        <v>149</v>
      </c>
      <c r="E32" s="2357"/>
      <c r="F32" s="2357"/>
      <c r="G32" s="2357"/>
      <c r="H32" s="2358"/>
      <c r="I32" s="2358"/>
      <c r="J32" s="2358"/>
      <c r="K32" s="2358"/>
      <c r="L32" s="2359"/>
      <c r="M32" s="69"/>
      <c r="N32" s="69"/>
      <c r="O32" s="69"/>
      <c r="P32" s="69"/>
      <c r="Q32" s="69"/>
      <c r="R32" s="69"/>
      <c r="S32" s="69"/>
      <c r="T32" s="69"/>
      <c r="U32" s="69"/>
      <c r="V32" s="69"/>
      <c r="W32" s="69"/>
    </row>
    <row r="33" spans="1:23" s="3" customFormat="1" ht="90.75" customHeight="1">
      <c r="A33" s="2336" t="str">
        <f>IF('PR_Grant Management_2'!A34="","",'PR_Grant Management_2'!A34)</f>
        <v xml:space="preserve">The reporting templates have been developed for the SR's to reports on the activties. However, the SR's are not using the templates consistently. The report should be submitted on agreed reporting format. The focal persons from each SR should be trained to report using the new format </v>
      </c>
      <c r="B33" s="2337"/>
      <c r="C33" s="2337"/>
      <c r="D33" s="2333" t="s">
        <v>1133</v>
      </c>
      <c r="E33" s="2334"/>
      <c r="F33" s="2334"/>
      <c r="G33" s="2334"/>
      <c r="H33" s="2334"/>
      <c r="I33" s="2334"/>
      <c r="J33" s="2334"/>
      <c r="K33" s="2334"/>
      <c r="L33" s="2335"/>
      <c r="M33" s="69"/>
      <c r="N33" s="69"/>
      <c r="O33" s="69"/>
      <c r="P33" s="69"/>
      <c r="Q33" s="69"/>
      <c r="R33" s="69"/>
      <c r="S33" s="69"/>
      <c r="T33" s="69"/>
      <c r="U33" s="69"/>
      <c r="V33" s="69"/>
      <c r="W33" s="69"/>
    </row>
    <row r="34" spans="1:23" s="3" customFormat="1" ht="105.75" customHeight="1">
      <c r="A34" s="2336" t="str">
        <f>IF('PR_Grant Management_2'!A35="","",'PR_Grant Management_2'!A35)</f>
        <v>We noted that the coordination between PMT, NACP &amp; SRs has improved and regular quarterly meeting is taking place. Nevertheless, the SRs continue to underperform and there is delay in submission of preogress reports</v>
      </c>
      <c r="B34" s="2337"/>
      <c r="C34" s="2337"/>
      <c r="D34" s="2333" t="s">
        <v>768</v>
      </c>
      <c r="E34" s="2334"/>
      <c r="F34" s="2334"/>
      <c r="G34" s="2334"/>
      <c r="H34" s="2334"/>
      <c r="I34" s="2334"/>
      <c r="J34" s="2334"/>
      <c r="K34" s="2334"/>
      <c r="L34" s="2335"/>
      <c r="M34" s="69"/>
      <c r="N34" s="69"/>
      <c r="O34" s="69"/>
      <c r="P34" s="69"/>
      <c r="Q34" s="69"/>
      <c r="R34" s="69"/>
      <c r="S34" s="69"/>
      <c r="T34" s="69"/>
      <c r="U34" s="69"/>
      <c r="V34" s="69"/>
      <c r="W34" s="69"/>
    </row>
    <row r="35" spans="1:23" s="3" customFormat="1" ht="111.75" customHeight="1">
      <c r="A35" s="2336" t="str">
        <f>IF('PR_Grant Management_2'!A36="","",'PR_Grant Management_2'!A36)</f>
        <v>During the reporting period one indicator “Number of people with advanced HIV infection currently receiving antiretroviral therapy” achieved only 69% of the target. We noted that the program has started using the new criteria for starting treatment as recommended by WI-IO which is to start ART with a CD4 count of 350. We have been informed that the treatment manual has been revised to incorporate this new recommendation and is now ready for printing. Officially the implementation of new treatment criteria has been initiated, but the awareness among the service providers and people living with HIV (PLWHIV) is not optimum. We would like to request NACP to initiate the awareness among the service providers and PLWHIV</v>
      </c>
      <c r="B35" s="2337"/>
      <c r="C35" s="2337"/>
      <c r="D35" s="2333" t="s">
        <v>769</v>
      </c>
      <c r="E35" s="2334"/>
      <c r="F35" s="2334"/>
      <c r="G35" s="2334"/>
      <c r="H35" s="2334"/>
      <c r="I35" s="2334"/>
      <c r="J35" s="2334"/>
      <c r="K35" s="2334"/>
      <c r="L35" s="2335"/>
      <c r="M35" s="69"/>
      <c r="N35" s="69"/>
      <c r="O35" s="69"/>
      <c r="P35" s="69"/>
      <c r="Q35" s="69"/>
      <c r="R35" s="69"/>
      <c r="S35" s="69"/>
      <c r="T35" s="69"/>
      <c r="U35" s="69"/>
      <c r="V35" s="69"/>
      <c r="W35" s="69"/>
    </row>
    <row r="36" spans="1:23" s="3" customFormat="1" ht="92.25" customHeight="1">
      <c r="A36" s="2336" t="str">
        <f>IF('PR_Grant Management_2'!A37="","",'PR_Grant Management_2'!A37)</f>
        <v xml:space="preserve">Targets In reference to the indicator ‘Number of teachers trained on life skill based HIV/AIDS education’ have been overachieved. We have been informed that the result was not correctly reported for this indicator. We would like to request NACP to segregate the training data and report with the Progress Update for the Quarter 15. In addition, we would also like to request to review the results for other training related indicators and conñrm the accuracy of the reported result. No disbursement for training will be made until the correct results are submitted. </v>
      </c>
      <c r="B36" s="2337"/>
      <c r="C36" s="2337"/>
      <c r="D36" s="2333" t="s">
        <v>770</v>
      </c>
      <c r="E36" s="2334"/>
      <c r="F36" s="2334"/>
      <c r="G36" s="2334"/>
      <c r="H36" s="2334"/>
      <c r="I36" s="2334"/>
      <c r="J36" s="2334"/>
      <c r="K36" s="2334"/>
      <c r="L36" s="2335"/>
      <c r="M36" s="69"/>
      <c r="N36" s="69"/>
      <c r="O36" s="69"/>
      <c r="P36" s="69"/>
      <c r="Q36" s="69"/>
      <c r="R36" s="69"/>
      <c r="S36" s="69"/>
      <c r="T36" s="69"/>
      <c r="U36" s="69"/>
      <c r="V36" s="69"/>
      <c r="W36" s="69"/>
    </row>
    <row r="37" spans="1:23" s="3" customFormat="1" ht="101.25" customHeight="1">
      <c r="A37" s="2336" t="str">
        <f>IF('PR_Grant Management_2'!A38="","",'PR_Grant Management_2'!A38)</f>
        <v>During the reporting period a high number for achievement has been reported for the indicator ‘Number of most at risk individuals reached with education materials (primarily substance users and sex workers)’. We would like to request your good office to share the information with the Global Fund on the mapping of MARP.</v>
      </c>
      <c r="B37" s="2337"/>
      <c r="C37" s="2337"/>
      <c r="D37" s="2333" t="s">
        <v>1155</v>
      </c>
      <c r="E37" s="2334"/>
      <c r="F37" s="2334"/>
      <c r="G37" s="2334"/>
      <c r="H37" s="2334"/>
      <c r="I37" s="2334"/>
      <c r="J37" s="2334"/>
      <c r="K37" s="2334"/>
      <c r="L37" s="2335"/>
      <c r="M37" s="69"/>
      <c r="N37" s="69"/>
      <c r="O37" s="69"/>
      <c r="P37" s="69"/>
      <c r="Q37" s="69"/>
      <c r="R37" s="69"/>
      <c r="S37" s="69"/>
      <c r="T37" s="69"/>
      <c r="U37" s="69"/>
      <c r="V37" s="69"/>
      <c r="W37" s="69"/>
    </row>
    <row r="38" spans="1:23" s="3" customFormat="1" ht="116.25" customHeight="1">
      <c r="A38" s="2336" t="str">
        <f>IF('PR_Grant Management_2'!A39="","",'PR_Grant Management_2'!A39)</f>
        <v>The analysis of cumulative variances from Q9 to Q14 shows that there is still a need for strengthening the ñnance management for this grant. There are instances, where expenditure overshoot budget and the NACP is not fully aware of this situation. In case the variances are known, they are not in a position to give proper explanations and justifications. The Global Fund provided training for finance personnel in 2010. We would like to request your good office to look into this and request the PMT for better coordination with finance and program units.</v>
      </c>
      <c r="B38" s="2337"/>
      <c r="C38" s="2337"/>
      <c r="D38" s="2333" t="s">
        <v>1156</v>
      </c>
      <c r="E38" s="2334"/>
      <c r="F38" s="2334"/>
      <c r="G38" s="2334"/>
      <c r="H38" s="2334"/>
      <c r="I38" s="2334"/>
      <c r="J38" s="2334"/>
      <c r="K38" s="2334"/>
      <c r="L38" s="2335"/>
      <c r="M38" s="69"/>
      <c r="N38" s="69"/>
      <c r="O38" s="69"/>
      <c r="P38" s="69"/>
      <c r="Q38" s="69"/>
      <c r="R38" s="69"/>
      <c r="S38" s="69"/>
      <c r="T38" s="69"/>
      <c r="U38" s="69"/>
      <c r="V38" s="69"/>
      <c r="W38" s="69"/>
    </row>
    <row r="39" spans="1:23" s="3" customFormat="1" ht="105.75" customHeight="1">
      <c r="A39" s="2336" t="str">
        <f>IF('PR_Grant Management_2'!A40="","",'PR_Grant Management_2'!A40)</f>
        <v>Surveillance strategy has not included armed forces personnel as one of the target groups although they are one of the high risk groups. We would like to encourage both NACP and PMT to initiate the discussion of inclusion of armed forces in the surveillance strategy. We would like to request your good  to discuss this issue with armed forces. In addition, the technical partners (WHO, UNAIDS) can be also be consulted.</v>
      </c>
      <c r="B39" s="2337"/>
      <c r="C39" s="2337"/>
      <c r="D39" s="2333" t="s">
        <v>771</v>
      </c>
      <c r="E39" s="2334"/>
      <c r="F39" s="2334"/>
      <c r="G39" s="2334"/>
      <c r="H39" s="2334"/>
      <c r="I39" s="2334"/>
      <c r="J39" s="2334"/>
      <c r="K39" s="2334"/>
      <c r="L39" s="2335"/>
      <c r="M39" s="69"/>
      <c r="N39" s="69"/>
      <c r="O39" s="69"/>
      <c r="P39" s="69"/>
      <c r="Q39" s="69"/>
      <c r="R39" s="69"/>
      <c r="S39" s="69"/>
      <c r="T39" s="69"/>
      <c r="U39" s="69"/>
      <c r="V39" s="69"/>
      <c r="W39" s="69"/>
    </row>
    <row r="40" spans="1:23" s="3" customFormat="1" ht="101.25" customHeight="1">
      <c r="A40" s="2336" t="str">
        <f>IF('PR_Grant Management_2'!A41="","",'PR_Grant Management_2'!A41)</f>
        <v>Reporting on most at risk individuals reached with education materials needs to be improved. Data is not segregated according to risk groups. All people who visit the HISC's are reported as most at risk individuals. We would recommend the program to strengthen the reporting system and segregate data accordingly. This would help the program to design an effective implementation</v>
      </c>
      <c r="B40" s="2337"/>
      <c r="C40" s="2337"/>
      <c r="D40" s="2333" t="s">
        <v>772</v>
      </c>
      <c r="E40" s="2334"/>
      <c r="F40" s="2334"/>
      <c r="G40" s="2334"/>
      <c r="H40" s="2334"/>
      <c r="I40" s="2334"/>
      <c r="J40" s="2334"/>
      <c r="K40" s="2334"/>
      <c r="L40" s="2335"/>
      <c r="M40" s="69"/>
      <c r="N40" s="69"/>
      <c r="O40" s="69"/>
      <c r="P40" s="69"/>
      <c r="Q40" s="69"/>
      <c r="R40" s="69"/>
      <c r="S40" s="69"/>
      <c r="T40" s="69"/>
      <c r="U40" s="69"/>
      <c r="V40" s="69"/>
      <c r="W40" s="69"/>
    </row>
    <row r="41" spans="1:23" s="3" customFormat="1" ht="73.5" customHeight="1">
      <c r="A41" s="2336" t="str">
        <f>IF('PR_Grant Management_2'!A44="","",'PR_Grant Management_2'!A44)</f>
        <v>Capacity of the PHPM needs to be strengthened. The Program unit (NACP) and the DVED should coordinate on regular basis for procurement. In this case PMT needs to be more proactive for an effective coordination.</v>
      </c>
      <c r="B41" s="2337"/>
      <c r="C41" s="2337"/>
      <c r="D41" s="2333" t="s">
        <v>1157</v>
      </c>
      <c r="E41" s="2334"/>
      <c r="F41" s="2334"/>
      <c r="G41" s="2334"/>
      <c r="H41" s="2334"/>
      <c r="I41" s="2334"/>
      <c r="J41" s="2334"/>
      <c r="K41" s="2334"/>
      <c r="L41" s="2335"/>
      <c r="M41" s="69"/>
      <c r="N41" s="69"/>
      <c r="O41" s="69"/>
      <c r="P41" s="69"/>
      <c r="Q41" s="69"/>
      <c r="R41" s="69"/>
      <c r="S41" s="69"/>
      <c r="T41" s="69"/>
      <c r="U41" s="69"/>
      <c r="V41" s="69"/>
      <c r="W41" s="69"/>
    </row>
    <row r="42" spans="1:23" s="31" customFormat="1" ht="73.5" customHeight="1">
      <c r="A42" s="896"/>
      <c r="B42" s="687"/>
      <c r="C42" s="688"/>
      <c r="D42" s="688"/>
      <c r="E42" s="689"/>
      <c r="F42" s="690"/>
      <c r="G42" s="690"/>
      <c r="H42" s="690"/>
      <c r="I42" s="691"/>
      <c r="J42" s="687"/>
      <c r="K42" s="689"/>
      <c r="L42" s="688"/>
      <c r="M42" s="69"/>
      <c r="N42" s="69"/>
      <c r="O42" s="69"/>
      <c r="P42" s="69"/>
      <c r="Q42" s="69"/>
      <c r="R42" s="69"/>
      <c r="S42" s="69"/>
      <c r="T42" s="69"/>
      <c r="U42" s="69"/>
      <c r="V42" s="69"/>
      <c r="W42" s="69"/>
    </row>
    <row r="43" spans="1:23" s="72" customFormat="1">
      <c r="J43" s="538"/>
      <c r="M43" s="69"/>
      <c r="N43" s="69"/>
      <c r="O43" s="69"/>
      <c r="P43" s="69"/>
      <c r="Q43" s="69"/>
      <c r="R43" s="69"/>
      <c r="S43" s="69"/>
      <c r="T43" s="69"/>
      <c r="U43" s="69"/>
      <c r="V43" s="69"/>
      <c r="W43" s="69"/>
    </row>
    <row r="44" spans="1:23" s="535" customFormat="1" ht="25.5" customHeight="1">
      <c r="A44" s="2351" t="s">
        <v>222</v>
      </c>
      <c r="B44" s="2351"/>
      <c r="C44" s="2351"/>
      <c r="D44" s="2351"/>
      <c r="E44" s="2351"/>
      <c r="F44" s="2351"/>
      <c r="G44" s="2351"/>
      <c r="H44" s="2351"/>
      <c r="I44" s="2351"/>
      <c r="J44" s="2351"/>
      <c r="K44" s="2351"/>
      <c r="L44" s="2351"/>
      <c r="M44" s="992"/>
      <c r="N44" s="992"/>
      <c r="O44" s="992"/>
      <c r="P44" s="992"/>
      <c r="Q44" s="992"/>
      <c r="R44" s="992"/>
      <c r="S44" s="992"/>
      <c r="T44" s="992"/>
      <c r="U44" s="992"/>
      <c r="V44" s="992"/>
      <c r="W44" s="992"/>
    </row>
    <row r="45" spans="1:23" s="612" customFormat="1" ht="37.5" customHeight="1" thickBot="1">
      <c r="A45" s="1880" t="s">
        <v>540</v>
      </c>
      <c r="B45" s="1880"/>
      <c r="C45" s="1880"/>
      <c r="D45" s="1880"/>
      <c r="E45" s="1880"/>
      <c r="F45" s="1880"/>
      <c r="G45" s="1880"/>
      <c r="H45" s="1880"/>
      <c r="I45" s="1880"/>
      <c r="J45" s="1880"/>
      <c r="K45" s="1880"/>
      <c r="L45" s="2350"/>
      <c r="M45" s="992"/>
      <c r="N45" s="992"/>
      <c r="O45" s="992"/>
      <c r="P45" s="992"/>
      <c r="Q45" s="992"/>
      <c r="R45" s="992"/>
      <c r="S45" s="992"/>
      <c r="T45" s="992"/>
      <c r="U45" s="992"/>
      <c r="V45" s="992"/>
      <c r="W45" s="992"/>
    </row>
    <row r="46" spans="1:23" s="612" customFormat="1" ht="28.5" customHeight="1" thickBot="1">
      <c r="A46" s="741"/>
      <c r="B46" s="742"/>
      <c r="C46" s="2348" t="s">
        <v>147</v>
      </c>
      <c r="D46" s="2349"/>
      <c r="E46" s="2345" t="s">
        <v>148</v>
      </c>
      <c r="F46" s="2346"/>
      <c r="G46" s="2346"/>
      <c r="H46" s="2346"/>
      <c r="I46" s="2346"/>
      <c r="J46" s="2346"/>
      <c r="K46" s="2346"/>
      <c r="L46" s="2347"/>
      <c r="M46" s="992"/>
      <c r="N46" s="992"/>
      <c r="O46" s="992"/>
      <c r="P46" s="992"/>
      <c r="Q46" s="992"/>
      <c r="R46" s="992"/>
      <c r="S46" s="992"/>
      <c r="T46" s="992"/>
      <c r="U46" s="992"/>
      <c r="V46" s="992"/>
      <c r="W46" s="992"/>
    </row>
    <row r="47" spans="1:23" s="535" customFormat="1" ht="23.25" customHeight="1">
      <c r="A47" s="1851" t="s">
        <v>571</v>
      </c>
      <c r="B47" s="2341"/>
      <c r="C47" s="511" t="s">
        <v>403</v>
      </c>
      <c r="D47" s="511" t="s">
        <v>354</v>
      </c>
      <c r="E47" s="613" t="s">
        <v>403</v>
      </c>
      <c r="F47" s="2189" t="s">
        <v>354</v>
      </c>
      <c r="G47" s="2352"/>
      <c r="H47" s="2352"/>
      <c r="I47" s="2352"/>
      <c r="J47" s="2339" t="s">
        <v>572</v>
      </c>
      <c r="K47" s="2339"/>
      <c r="L47" s="2340"/>
      <c r="M47" s="992"/>
      <c r="N47" s="992"/>
      <c r="O47" s="992"/>
      <c r="P47" s="992"/>
      <c r="Q47" s="992"/>
      <c r="R47" s="992"/>
      <c r="S47" s="992"/>
      <c r="T47" s="992"/>
      <c r="U47" s="992"/>
      <c r="V47" s="992"/>
      <c r="W47" s="992"/>
    </row>
    <row r="48" spans="1:23" s="535" customFormat="1" ht="41.25" customHeight="1">
      <c r="A48" s="2329" t="s">
        <v>126</v>
      </c>
      <c r="B48" s="2330"/>
      <c r="C48" s="833">
        <f>IF('PR_Grant Management_2'!E54="","",'PR_Grant Management_2'!E54)</f>
        <v>40908</v>
      </c>
      <c r="D48" s="834" t="str">
        <f>IF('PR_Grant Management_2'!F54="","",'PR_Grant Management_2'!F54)</f>
        <v>Submitted to GF</v>
      </c>
      <c r="E48" s="886">
        <v>40908</v>
      </c>
      <c r="F48" s="2338" t="s">
        <v>714</v>
      </c>
      <c r="G48" s="2338"/>
      <c r="H48" s="2338"/>
      <c r="I48" s="2338"/>
      <c r="J48" s="2342" t="s">
        <v>1135</v>
      </c>
      <c r="K48" s="2343"/>
      <c r="L48" s="2344"/>
      <c r="M48" s="992"/>
      <c r="N48" s="992"/>
      <c r="O48" s="992"/>
      <c r="P48" s="992"/>
      <c r="Q48" s="992"/>
      <c r="R48" s="992"/>
      <c r="S48" s="992"/>
      <c r="T48" s="992"/>
      <c r="U48" s="992"/>
      <c r="V48" s="992"/>
      <c r="W48" s="992"/>
    </row>
    <row r="49" spans="1:23" s="535" customFormat="1" ht="41.25" customHeight="1" thickBot="1">
      <c r="A49" s="2331" t="s">
        <v>570</v>
      </c>
      <c r="B49" s="2332"/>
      <c r="C49" s="1298">
        <f>IF('PR_Grant Management_2'!E55="","",'PR_Grant Management_2'!E55)</f>
        <v>40939</v>
      </c>
      <c r="D49" s="1299" t="str">
        <f>IF('PR_Grant Management_2'!F55="","",'PR_Grant Management_2'!F55)</f>
        <v>Overdue</v>
      </c>
      <c r="E49" s="1300">
        <v>40617</v>
      </c>
      <c r="F49" s="2323" t="s">
        <v>711</v>
      </c>
      <c r="G49" s="2323"/>
      <c r="H49" s="2323"/>
      <c r="I49" s="2323"/>
      <c r="J49" s="2326" t="s">
        <v>1134</v>
      </c>
      <c r="K49" s="2327"/>
      <c r="L49" s="2328"/>
      <c r="M49" s="992"/>
      <c r="N49" s="992"/>
      <c r="O49" s="992"/>
      <c r="P49" s="992"/>
      <c r="Q49" s="992"/>
      <c r="R49" s="992"/>
      <c r="S49" s="992"/>
      <c r="T49" s="992"/>
      <c r="U49" s="992"/>
      <c r="V49" s="992"/>
      <c r="W49" s="992"/>
    </row>
    <row r="50" spans="1:23" ht="15" customHeight="1">
      <c r="A50" s="865"/>
      <c r="B50" s="865"/>
      <c r="C50" s="865"/>
      <c r="D50" s="865"/>
      <c r="E50" s="865"/>
      <c r="F50" s="865"/>
      <c r="G50" s="865"/>
      <c r="H50" s="865"/>
      <c r="I50" s="865"/>
      <c r="J50" s="1025"/>
      <c r="K50" s="865"/>
      <c r="L50" s="865"/>
    </row>
    <row r="61" spans="1:23">
      <c r="J61" s="2321"/>
      <c r="K61" s="2322"/>
    </row>
    <row r="62" spans="1:23" ht="14.25">
      <c r="F62" s="2321"/>
      <c r="G62" s="2322"/>
      <c r="J62" s="2324"/>
      <c r="K62" s="2325"/>
    </row>
    <row r="63" spans="1:23" ht="14.25">
      <c r="F63" s="2321"/>
      <c r="G63" s="2322"/>
      <c r="J63" s="2324"/>
      <c r="K63" s="2325"/>
    </row>
    <row r="64" spans="1:23" ht="14.25">
      <c r="F64" s="2321"/>
      <c r="G64" s="2322"/>
      <c r="J64" s="2324"/>
      <c r="K64" s="2325"/>
    </row>
    <row r="65" spans="6:11" ht="14.25">
      <c r="F65" s="2321"/>
      <c r="G65" s="2322"/>
      <c r="J65" s="2324"/>
      <c r="K65" s="2325"/>
    </row>
    <row r="66" spans="6:11" ht="14.25">
      <c r="F66" s="2321"/>
      <c r="G66" s="2322"/>
      <c r="J66" s="2324"/>
      <c r="K66" s="2325"/>
    </row>
    <row r="67" spans="6:11" ht="14.25">
      <c r="F67" s="2321"/>
      <c r="G67" s="2322"/>
      <c r="J67" s="2324"/>
      <c r="K67" s="2325"/>
    </row>
    <row r="68" spans="6:11">
      <c r="F68" s="2321"/>
      <c r="G68" s="2322"/>
    </row>
  </sheetData>
  <sheetProtection formatCells="0" formatColumns="0" formatRows="0" insertRows="0"/>
  <customSheetViews>
    <customSheetView guid="{E26F941C-F347-432D-B4B3-73B25F002075}" scale="65" fitToPage="1" hiddenColumns="1">
      <selection activeCell="E42" sqref="E42"/>
      <pageMargins left="0.55000000000000004" right="0.52" top="0.85" bottom="0.98425196850393704" header="0.51181102362204722" footer="0.51181102362204722"/>
      <printOptions horizontalCentered="1"/>
      <pageSetup paperSize="9" scale="54" orientation="landscape" cellComments="asDisplayed" r:id="rId1"/>
      <headerFooter alignWithMargins="0">
        <oddFooter>&amp;L&amp;9SD 3.1A - Form, Ongoing DR/PU and LFA Review and Recommendation_v2.1 February 2006&amp;R&amp;9Page &amp;P of &amp;N</oddFooter>
      </headerFooter>
    </customSheetView>
  </customSheetViews>
  <mergeCells count="84">
    <mergeCell ref="A11:L11"/>
    <mergeCell ref="A17:C17"/>
    <mergeCell ref="E14:L14"/>
    <mergeCell ref="F15:L15"/>
    <mergeCell ref="A15:C15"/>
    <mergeCell ref="F17:L17"/>
    <mergeCell ref="F16:L16"/>
    <mergeCell ref="A16:C16"/>
    <mergeCell ref="A12:L12"/>
    <mergeCell ref="A13:L13"/>
    <mergeCell ref="F25:L25"/>
    <mergeCell ref="A26:C26"/>
    <mergeCell ref="A23:C23"/>
    <mergeCell ref="A18:C18"/>
    <mergeCell ref="F18:L18"/>
    <mergeCell ref="F23:L23"/>
    <mergeCell ref="A24:C24"/>
    <mergeCell ref="F20:L20"/>
    <mergeCell ref="A20:C20"/>
    <mergeCell ref="F22:L22"/>
    <mergeCell ref="A22:C22"/>
    <mergeCell ref="F24:L24"/>
    <mergeCell ref="A21:C21"/>
    <mergeCell ref="F21:L21"/>
    <mergeCell ref="F19:L19"/>
    <mergeCell ref="A19:C19"/>
    <mergeCell ref="A34:C34"/>
    <mergeCell ref="D33:L33"/>
    <mergeCell ref="A33:C33"/>
    <mergeCell ref="F26:L26"/>
    <mergeCell ref="A27:C27"/>
    <mergeCell ref="F27:L27"/>
    <mergeCell ref="A1:J1"/>
    <mergeCell ref="A3:B3"/>
    <mergeCell ref="C3:F3"/>
    <mergeCell ref="C6:F6"/>
    <mergeCell ref="A10:L10"/>
    <mergeCell ref="D38:L38"/>
    <mergeCell ref="A38:C38"/>
    <mergeCell ref="A44:L44"/>
    <mergeCell ref="F47:I47"/>
    <mergeCell ref="A25:C25"/>
    <mergeCell ref="D35:L35"/>
    <mergeCell ref="A35:C35"/>
    <mergeCell ref="A37:C37"/>
    <mergeCell ref="D34:L34"/>
    <mergeCell ref="D36:L36"/>
    <mergeCell ref="D37:L37"/>
    <mergeCell ref="A36:C36"/>
    <mergeCell ref="D32:L32"/>
    <mergeCell ref="A32:C32"/>
    <mergeCell ref="A31:L31"/>
    <mergeCell ref="A29:L29"/>
    <mergeCell ref="D39:L39"/>
    <mergeCell ref="A40:C40"/>
    <mergeCell ref="D40:L40"/>
    <mergeCell ref="F48:I48"/>
    <mergeCell ref="J47:L47"/>
    <mergeCell ref="A47:B47"/>
    <mergeCell ref="J48:L48"/>
    <mergeCell ref="A41:C41"/>
    <mergeCell ref="D41:L41"/>
    <mergeCell ref="E46:L46"/>
    <mergeCell ref="C46:D46"/>
    <mergeCell ref="A45:L45"/>
    <mergeCell ref="A39:C39"/>
    <mergeCell ref="F68:G68"/>
    <mergeCell ref="F66:G66"/>
    <mergeCell ref="F67:G67"/>
    <mergeCell ref="F65:G65"/>
    <mergeCell ref="A48:B48"/>
    <mergeCell ref="A49:B49"/>
    <mergeCell ref="J61:K61"/>
    <mergeCell ref="F49:I49"/>
    <mergeCell ref="J62:K62"/>
    <mergeCell ref="F62:G62"/>
    <mergeCell ref="J67:K67"/>
    <mergeCell ref="J65:K65"/>
    <mergeCell ref="J66:K66"/>
    <mergeCell ref="F64:G64"/>
    <mergeCell ref="J63:K63"/>
    <mergeCell ref="J64:K64"/>
    <mergeCell ref="F63:G63"/>
    <mergeCell ref="J49:L49"/>
  </mergeCells>
  <phoneticPr fontId="29" type="noConversion"/>
  <conditionalFormatting sqref="C44:E44">
    <cfRule type="cellIs" dxfId="30" priority="37" stopIfTrue="1" operator="notEqual">
      <formula>B44</formula>
    </cfRule>
    <cfRule type="cellIs" dxfId="29" priority="38" stopIfTrue="1" operator="notEqual">
      <formula>A44</formula>
    </cfRule>
  </conditionalFormatting>
  <conditionalFormatting sqref="B48:B49 B44">
    <cfRule type="cellIs" dxfId="28" priority="33" stopIfTrue="1" operator="notEqual">
      <formula>A44</formula>
    </cfRule>
    <cfRule type="cellIs" dxfId="27" priority="34" stopIfTrue="1" operator="notEqual">
      <formula>#REF!</formula>
    </cfRule>
  </conditionalFormatting>
  <conditionalFormatting sqref="A44:A45 A47:A49 A28">
    <cfRule type="cellIs" dxfId="26" priority="50" stopIfTrue="1" operator="notEqual">
      <formula>#REF!</formula>
    </cfRule>
    <cfRule type="cellIs" dxfId="25" priority="51" stopIfTrue="1" operator="notEqual">
      <formula>#REF!</formula>
    </cfRule>
  </conditionalFormatting>
  <conditionalFormatting sqref="D42:I42 A33:A42">
    <cfRule type="cellIs" dxfId="24" priority="55" stopIfTrue="1" operator="notEqual">
      <formula>#REF!</formula>
    </cfRule>
  </conditionalFormatting>
  <conditionalFormatting sqref="A27 A16:C26">
    <cfRule type="cellIs" dxfId="23" priority="67" stopIfTrue="1" operator="notEqual">
      <formula>#REF!</formula>
    </cfRule>
  </conditionalFormatting>
  <dataValidations count="2">
    <dataValidation type="list" allowBlank="1" showInputMessage="1" showErrorMessage="1" sqref="J62:K67 E28 E16:E26">
      <formula1>"Met,Unmet - In Progress, Unmet - Not started"</formula1>
    </dataValidation>
    <dataValidation type="list" allowBlank="1" showInputMessage="1" showErrorMessage="1" sqref="F48:I49">
      <formula1>"Submitted to GF, Preparation on track, Overdue"</formula1>
    </dataValidation>
  </dataValidations>
  <printOptions horizontalCentered="1"/>
  <pageMargins left="0.74803149606299213" right="0.74803149606299213" top="0.59055118110236227" bottom="0.78740157480314965" header="0.51181102362204722" footer="0.51181102362204722"/>
  <pageSetup paperSize="9" scale="59" fitToHeight="0" orientation="landscape" cellComments="asDisplayed" r:id="rId2"/>
  <headerFooter alignWithMargins="0">
    <oddFooter>&amp;L&amp;9&amp;F&amp;C&amp;A&amp;R&amp;9Page &amp;P of &amp;N</oddFooter>
  </headerFooter>
  <rowBreaks count="1" manualBreakCount="1">
    <brk id="27" max="11" man="1"/>
  </rowBreaks>
</worksheet>
</file>

<file path=xl/worksheets/sheet19.xml><?xml version="1.0" encoding="utf-8"?>
<worksheet xmlns="http://schemas.openxmlformats.org/spreadsheetml/2006/main" xmlns:r="http://schemas.openxmlformats.org/officeDocument/2006/relationships">
  <sheetPr enableFormatConditionsCalculation="0">
    <tabColor indexed="40"/>
    <pageSetUpPr fitToPage="1"/>
  </sheetPr>
  <dimension ref="A1:IE76"/>
  <sheetViews>
    <sheetView view="pageBreakPreview" topLeftCell="A6" zoomScale="99" zoomScaleNormal="55" zoomScaleSheetLayoutView="99" workbookViewId="0">
      <selection activeCell="D13" sqref="D13"/>
    </sheetView>
  </sheetViews>
  <sheetFormatPr defaultColWidth="0" defaultRowHeight="12.75"/>
  <cols>
    <col min="1" max="1" width="23.140625" style="69" customWidth="1"/>
    <col min="2" max="2" width="32.28515625" style="69" customWidth="1"/>
    <col min="3" max="3" width="18.85546875" style="69" customWidth="1"/>
    <col min="4" max="4" width="16" style="69" customWidth="1"/>
    <col min="5" max="5" width="15.85546875" style="69" customWidth="1"/>
    <col min="6" max="6" width="27.140625" style="69" customWidth="1"/>
    <col min="7" max="7" width="48.7109375" style="69" customWidth="1"/>
    <col min="8" max="8" width="24.7109375" style="69" customWidth="1"/>
    <col min="9" max="9" width="20.140625" style="69" customWidth="1"/>
    <col min="10" max="10" width="14.42578125" style="69" customWidth="1"/>
    <col min="11" max="11" width="75.140625" style="69" customWidth="1"/>
    <col min="12" max="12" width="18.5703125" style="83" customWidth="1"/>
    <col min="13" max="25" width="9.140625" style="69" hidden="1" customWidth="1"/>
    <col min="26" max="239" width="9.140625" style="69" customWidth="1"/>
    <col min="240" max="16384" width="0" style="69" hidden="1"/>
  </cols>
  <sheetData>
    <row r="1" spans="1:239" s="3" customFormat="1" ht="25.5" customHeight="1">
      <c r="A1" s="2166" t="s">
        <v>632</v>
      </c>
      <c r="B1" s="2166"/>
      <c r="C1" s="2166"/>
      <c r="D1" s="2166"/>
      <c r="E1" s="2166"/>
      <c r="F1" s="2166"/>
      <c r="G1" s="2166"/>
      <c r="H1" s="2166"/>
      <c r="I1" s="2166"/>
      <c r="J1" s="2166"/>
      <c r="K1" s="2166"/>
      <c r="L1" s="1030"/>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row>
    <row r="2" spans="1:239" s="13" customFormat="1" ht="27" customHeight="1" thickBot="1">
      <c r="A2" s="98" t="s">
        <v>507</v>
      </c>
      <c r="B2" s="72"/>
      <c r="C2" s="72"/>
      <c r="D2" s="72"/>
      <c r="E2" s="72"/>
      <c r="F2" s="72"/>
      <c r="G2" s="72"/>
      <c r="H2" s="72"/>
      <c r="I2" s="72"/>
      <c r="J2" s="72"/>
      <c r="K2" s="72"/>
      <c r="L2" s="6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row>
    <row r="3" spans="1:239" s="4" customFormat="1" ht="30" customHeight="1" thickBot="1">
      <c r="A3" s="1787" t="s">
        <v>422</v>
      </c>
      <c r="B3" s="1815"/>
      <c r="C3" s="2434" t="str">
        <f>IF('LFA_Programmatic Progress_1A'!C7="","",'LFA_Programmatic Progress_1A'!C7)</f>
        <v>BTN-607-G03-H</v>
      </c>
      <c r="D3" s="2435"/>
      <c r="E3" s="2435"/>
      <c r="F3" s="2435"/>
      <c r="G3" s="2436"/>
      <c r="H3" s="73"/>
      <c r="I3" s="73"/>
      <c r="J3" s="73"/>
      <c r="K3" s="73"/>
      <c r="L3" s="69"/>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row>
    <row r="4" spans="1:239" s="4" customFormat="1" ht="15" customHeight="1">
      <c r="A4" s="492" t="s">
        <v>624</v>
      </c>
      <c r="B4" s="512"/>
      <c r="C4" s="1237" t="s">
        <v>630</v>
      </c>
      <c r="D4" s="2145" t="str">
        <f>IF('LFA_Programmatic Progress_1A'!D12="Select","",'LFA_Programmatic Progress_1A'!D12)</f>
        <v>Quarter</v>
      </c>
      <c r="E4" s="2432"/>
      <c r="F4" s="5" t="s">
        <v>631</v>
      </c>
      <c r="G4" s="47">
        <f>IF('LFA_Programmatic Progress_1A'!F12="Select","",'LFA_Programmatic Progress_1A'!F12)</f>
        <v>16</v>
      </c>
      <c r="H4" s="73"/>
      <c r="I4" s="220"/>
      <c r="J4" s="73"/>
      <c r="K4" s="73"/>
      <c r="L4" s="69"/>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row>
    <row r="5" spans="1:239" s="4" customFormat="1" ht="15" customHeight="1">
      <c r="A5" s="513" t="s">
        <v>625</v>
      </c>
      <c r="B5" s="40"/>
      <c r="C5" s="1238" t="s">
        <v>593</v>
      </c>
      <c r="D5" s="2225">
        <f>IF('LFA_Programmatic Progress_1A'!D13="","",'LFA_Programmatic Progress_1A'!D13)</f>
        <v>40848</v>
      </c>
      <c r="E5" s="2433"/>
      <c r="F5" s="5" t="s">
        <v>611</v>
      </c>
      <c r="G5" s="520">
        <f>IF('LFA_Programmatic Progress_1A'!F13="","",'LFA_Programmatic Progress_1A'!F13)</f>
        <v>40939</v>
      </c>
      <c r="H5" s="220"/>
      <c r="I5" s="220"/>
      <c r="J5" s="220"/>
      <c r="K5" s="220"/>
      <c r="L5" s="69"/>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row>
    <row r="6" spans="1:239" s="4" customFormat="1" ht="15" customHeight="1" thickBot="1">
      <c r="A6" s="55" t="s">
        <v>626</v>
      </c>
      <c r="B6" s="167"/>
      <c r="C6" s="2411">
        <f>IF('LFA_Programmatic Progress_1A'!C14="Select","",'LFA_Programmatic Progress_1A'!C14)</f>
        <v>16</v>
      </c>
      <c r="D6" s="2412"/>
      <c r="E6" s="2412"/>
      <c r="F6" s="2412"/>
      <c r="G6" s="2413"/>
      <c r="H6" s="220"/>
      <c r="I6" s="220"/>
      <c r="J6" s="220"/>
      <c r="K6" s="220"/>
      <c r="L6" s="69"/>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row>
    <row r="7" spans="1:239" s="73" customFormat="1" ht="15" customHeight="1" thickBot="1">
      <c r="A7" s="1233" t="s">
        <v>592</v>
      </c>
      <c r="B7" s="1236"/>
      <c r="C7" s="2091" t="str">
        <f>IF('PR_Programmatic Progress_1A'!C10="Select","",'PR_Programmatic Progress_1A'!C10)</f>
        <v>USD</v>
      </c>
      <c r="D7" s="2092"/>
      <c r="E7" s="2092"/>
      <c r="F7" s="2092"/>
      <c r="G7" s="2093"/>
      <c r="H7" s="220"/>
      <c r="I7" s="220"/>
      <c r="J7" s="220"/>
      <c r="K7" s="220"/>
    </row>
    <row r="8" spans="1:239" s="3" customFormat="1" ht="16.5" customHeight="1">
      <c r="A8" s="70"/>
      <c r="B8" s="70"/>
      <c r="C8" s="70"/>
      <c r="D8" s="70"/>
      <c r="E8" s="70"/>
      <c r="F8" s="70"/>
      <c r="G8" s="70"/>
      <c r="H8" s="70"/>
      <c r="I8" s="70"/>
      <c r="J8" s="71"/>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row>
    <row r="9" spans="1:239" s="17" customFormat="1" ht="25.5" customHeight="1">
      <c r="A9" s="479" t="s">
        <v>358</v>
      </c>
      <c r="B9" s="218"/>
      <c r="C9" s="218"/>
      <c r="D9" s="218"/>
      <c r="E9" s="218"/>
      <c r="F9" s="218"/>
      <c r="G9" s="218"/>
      <c r="H9" s="1218"/>
      <c r="I9" s="1218"/>
      <c r="J9" s="1218"/>
      <c r="K9" s="1242"/>
      <c r="L9" s="69"/>
      <c r="M9" s="1022"/>
      <c r="N9" s="1022"/>
      <c r="O9" s="1022"/>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c r="AN9" s="1022"/>
      <c r="AO9" s="1022"/>
      <c r="AP9" s="1022"/>
      <c r="AQ9" s="1022"/>
      <c r="AR9" s="1022"/>
      <c r="AS9" s="1022"/>
      <c r="AT9" s="1022"/>
      <c r="AU9" s="1022"/>
      <c r="AV9" s="1022"/>
      <c r="AW9" s="1022"/>
      <c r="AX9" s="1022"/>
      <c r="AY9" s="1022"/>
      <c r="AZ9" s="1022"/>
      <c r="BA9" s="1022"/>
      <c r="BB9" s="1022"/>
      <c r="BC9" s="1022"/>
      <c r="BD9" s="1022"/>
      <c r="BE9" s="1022"/>
      <c r="BF9" s="1022"/>
      <c r="BG9" s="1022"/>
      <c r="BH9" s="1022"/>
      <c r="BI9" s="1022"/>
      <c r="BJ9" s="1022"/>
      <c r="BK9" s="1022"/>
      <c r="BL9" s="1022"/>
      <c r="BM9" s="1022"/>
      <c r="BN9" s="1022"/>
      <c r="BO9" s="1022"/>
      <c r="BP9" s="1022"/>
      <c r="BQ9" s="1022"/>
      <c r="BR9" s="1022"/>
      <c r="BS9" s="1022"/>
      <c r="BT9" s="1022"/>
      <c r="BU9" s="1022"/>
      <c r="BV9" s="1022"/>
      <c r="BW9" s="1022"/>
      <c r="BX9" s="1022"/>
      <c r="BY9" s="1022"/>
      <c r="BZ9" s="1022"/>
      <c r="CA9" s="1022"/>
      <c r="CB9" s="1022"/>
      <c r="CC9" s="1022"/>
      <c r="CD9" s="1022"/>
      <c r="CE9" s="1022"/>
      <c r="CF9" s="1022"/>
      <c r="CG9" s="1022"/>
      <c r="CH9" s="1022"/>
      <c r="CI9" s="1022"/>
      <c r="CJ9" s="1022"/>
      <c r="CK9" s="1022"/>
      <c r="CL9" s="1022"/>
      <c r="CM9" s="1022"/>
      <c r="CN9" s="1022"/>
      <c r="CO9" s="1022"/>
      <c r="CP9" s="1022"/>
      <c r="CQ9" s="1022"/>
      <c r="CR9" s="1022"/>
      <c r="CS9" s="1022"/>
      <c r="CT9" s="1022"/>
      <c r="CU9" s="1022"/>
      <c r="CV9" s="1022"/>
      <c r="CW9" s="1022"/>
      <c r="CX9" s="1022"/>
      <c r="CY9" s="1022"/>
      <c r="CZ9" s="1022"/>
      <c r="DA9" s="1022"/>
      <c r="DB9" s="1022"/>
      <c r="DC9" s="1022"/>
      <c r="DD9" s="1022"/>
      <c r="DE9" s="1022"/>
      <c r="DF9" s="1022"/>
      <c r="DG9" s="1022"/>
      <c r="DH9" s="1022"/>
      <c r="DI9" s="1022"/>
      <c r="DJ9" s="1022"/>
      <c r="DK9" s="1022"/>
      <c r="DL9" s="1022"/>
      <c r="DM9" s="1022"/>
      <c r="DN9" s="1022"/>
      <c r="DO9" s="1022"/>
      <c r="DP9" s="1022"/>
      <c r="DQ9" s="1022"/>
      <c r="DR9" s="1022"/>
      <c r="DS9" s="1022"/>
      <c r="DT9" s="1022"/>
      <c r="DU9" s="1022"/>
      <c r="DV9" s="1022"/>
      <c r="DW9" s="1022"/>
      <c r="DX9" s="1022"/>
      <c r="DY9" s="1022"/>
      <c r="DZ9" s="1022"/>
      <c r="EA9" s="1022"/>
      <c r="EB9" s="1022"/>
      <c r="EC9" s="1022"/>
      <c r="ED9" s="1022"/>
      <c r="EE9" s="1022"/>
      <c r="EF9" s="1022"/>
      <c r="EG9" s="1022"/>
      <c r="EH9" s="1022"/>
      <c r="EI9" s="1022"/>
      <c r="EJ9" s="1022"/>
      <c r="EK9" s="1022"/>
      <c r="EL9" s="1022"/>
      <c r="EM9" s="1022"/>
      <c r="EN9" s="1022"/>
      <c r="EO9" s="1022"/>
      <c r="EP9" s="1022"/>
      <c r="EQ9" s="1022"/>
      <c r="ER9" s="1022"/>
      <c r="ES9" s="1022"/>
      <c r="ET9" s="1022"/>
      <c r="EU9" s="1022"/>
      <c r="EV9" s="1022"/>
      <c r="EW9" s="1022"/>
      <c r="EX9" s="1022"/>
      <c r="EY9" s="1022"/>
      <c r="EZ9" s="1022"/>
      <c r="FA9" s="1022"/>
      <c r="FB9" s="1022"/>
      <c r="FC9" s="1022"/>
      <c r="FD9" s="1022"/>
      <c r="FE9" s="1022"/>
      <c r="FF9" s="1022"/>
      <c r="FG9" s="1022"/>
      <c r="FH9" s="1022"/>
      <c r="FI9" s="1022"/>
      <c r="FJ9" s="1022"/>
      <c r="FK9" s="1022"/>
      <c r="FL9" s="1022"/>
      <c r="FM9" s="1022"/>
      <c r="FN9" s="1022"/>
      <c r="FO9" s="1022"/>
      <c r="FP9" s="1022"/>
      <c r="FQ9" s="1022"/>
      <c r="FR9" s="1022"/>
      <c r="FS9" s="1022"/>
      <c r="FT9" s="1022"/>
      <c r="FU9" s="1022"/>
      <c r="FV9" s="1022"/>
      <c r="FW9" s="1022"/>
      <c r="FX9" s="1022"/>
      <c r="FY9" s="1022"/>
      <c r="FZ9" s="1022"/>
      <c r="GA9" s="1022"/>
      <c r="GB9" s="1022"/>
      <c r="GC9" s="1022"/>
      <c r="GD9" s="1022"/>
      <c r="GE9" s="1022"/>
      <c r="GF9" s="1022"/>
      <c r="GG9" s="1022"/>
      <c r="GH9" s="1022"/>
      <c r="GI9" s="1022"/>
      <c r="GJ9" s="1022"/>
      <c r="GK9" s="1022"/>
      <c r="GL9" s="1022"/>
      <c r="GM9" s="1022"/>
      <c r="GN9" s="1022"/>
      <c r="GO9" s="1022"/>
      <c r="GP9" s="1022"/>
      <c r="GQ9" s="1022"/>
      <c r="GR9" s="1022"/>
      <c r="GS9" s="1022"/>
      <c r="GT9" s="1022"/>
      <c r="GU9" s="1022"/>
      <c r="GV9" s="1022"/>
      <c r="GW9" s="1022"/>
      <c r="GX9" s="1022"/>
      <c r="GY9" s="1022"/>
      <c r="GZ9" s="1022"/>
      <c r="HA9" s="1022"/>
      <c r="HB9" s="1022"/>
      <c r="HC9" s="1022"/>
      <c r="HD9" s="1022"/>
      <c r="HE9" s="1022"/>
      <c r="HF9" s="1022"/>
      <c r="HG9" s="1022"/>
      <c r="HH9" s="1022"/>
      <c r="HI9" s="1022"/>
      <c r="HJ9" s="1022"/>
      <c r="HK9" s="1022"/>
      <c r="HL9" s="1022"/>
      <c r="HM9" s="1022"/>
      <c r="HN9" s="1022"/>
      <c r="HO9" s="1022"/>
      <c r="HP9" s="1022"/>
      <c r="HQ9" s="1022"/>
      <c r="HR9" s="1022"/>
      <c r="HS9" s="1022"/>
      <c r="HT9" s="1022"/>
      <c r="HU9" s="1022"/>
      <c r="HV9" s="1022"/>
      <c r="HW9" s="1022"/>
      <c r="HX9" s="1022"/>
      <c r="HY9" s="1022"/>
      <c r="HZ9" s="1022"/>
      <c r="IA9" s="1022"/>
      <c r="IB9" s="1022"/>
      <c r="IC9" s="1022"/>
      <c r="ID9" s="1022"/>
      <c r="IE9" s="1022"/>
    </row>
    <row r="10" spans="1:239" s="17" customFormat="1" ht="21" customHeight="1">
      <c r="A10" s="1896" t="s">
        <v>409</v>
      </c>
      <c r="B10" s="1897"/>
      <c r="C10" s="1897"/>
      <c r="D10" s="1897"/>
      <c r="E10" s="1897"/>
      <c r="F10" s="1897"/>
      <c r="G10" s="1897"/>
      <c r="H10" s="1897"/>
      <c r="I10" s="1897"/>
      <c r="J10" s="1897"/>
      <c r="K10" s="1897"/>
      <c r="L10" s="69"/>
      <c r="M10" s="1022"/>
      <c r="N10" s="1022"/>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c r="AN10" s="1022"/>
      <c r="AO10" s="1022"/>
      <c r="AP10" s="1022"/>
      <c r="AQ10" s="1022"/>
      <c r="AR10" s="1022"/>
      <c r="AS10" s="1022"/>
      <c r="AT10" s="1022"/>
      <c r="AU10" s="1022"/>
      <c r="AV10" s="1022"/>
      <c r="AW10" s="1022"/>
      <c r="AX10" s="1022"/>
      <c r="AY10" s="1022"/>
      <c r="AZ10" s="1022"/>
      <c r="BA10" s="1022"/>
      <c r="BB10" s="1022"/>
      <c r="BC10" s="1022"/>
      <c r="BD10" s="1022"/>
      <c r="BE10" s="1022"/>
      <c r="BF10" s="1022"/>
      <c r="BG10" s="1022"/>
      <c r="BH10" s="1022"/>
      <c r="BI10" s="1022"/>
      <c r="BJ10" s="1022"/>
      <c r="BK10" s="1022"/>
      <c r="BL10" s="1022"/>
      <c r="BM10" s="1022"/>
      <c r="BN10" s="1022"/>
      <c r="BO10" s="1022"/>
      <c r="BP10" s="1022"/>
      <c r="BQ10" s="1022"/>
      <c r="BR10" s="1022"/>
      <c r="BS10" s="1022"/>
      <c r="BT10" s="1022"/>
      <c r="BU10" s="1022"/>
      <c r="BV10" s="1022"/>
      <c r="BW10" s="1022"/>
      <c r="BX10" s="1022"/>
      <c r="BY10" s="1022"/>
      <c r="BZ10" s="1022"/>
      <c r="CA10" s="1022"/>
      <c r="CB10" s="1022"/>
      <c r="CC10" s="1022"/>
      <c r="CD10" s="1022"/>
      <c r="CE10" s="1022"/>
      <c r="CF10" s="1022"/>
      <c r="CG10" s="1022"/>
      <c r="CH10" s="1022"/>
      <c r="CI10" s="1022"/>
      <c r="CJ10" s="1022"/>
      <c r="CK10" s="1022"/>
      <c r="CL10" s="1022"/>
      <c r="CM10" s="1022"/>
      <c r="CN10" s="1022"/>
      <c r="CO10" s="1022"/>
      <c r="CP10" s="1022"/>
      <c r="CQ10" s="1022"/>
      <c r="CR10" s="1022"/>
      <c r="CS10" s="1022"/>
      <c r="CT10" s="1022"/>
      <c r="CU10" s="1022"/>
      <c r="CV10" s="1022"/>
      <c r="CW10" s="1022"/>
      <c r="CX10" s="1022"/>
      <c r="CY10" s="1022"/>
      <c r="CZ10" s="1022"/>
      <c r="DA10" s="1022"/>
      <c r="DB10" s="1022"/>
      <c r="DC10" s="1022"/>
      <c r="DD10" s="1022"/>
      <c r="DE10" s="1022"/>
      <c r="DF10" s="1022"/>
      <c r="DG10" s="1022"/>
      <c r="DH10" s="1022"/>
      <c r="DI10" s="1022"/>
      <c r="DJ10" s="1022"/>
      <c r="DK10" s="1022"/>
      <c r="DL10" s="1022"/>
      <c r="DM10" s="1022"/>
      <c r="DN10" s="1022"/>
      <c r="DO10" s="1022"/>
      <c r="DP10" s="1022"/>
      <c r="DQ10" s="1022"/>
      <c r="DR10" s="1022"/>
      <c r="DS10" s="1022"/>
      <c r="DT10" s="1022"/>
      <c r="DU10" s="1022"/>
      <c r="DV10" s="1022"/>
      <c r="DW10" s="1022"/>
      <c r="DX10" s="1022"/>
      <c r="DY10" s="1022"/>
      <c r="DZ10" s="1022"/>
      <c r="EA10" s="1022"/>
      <c r="EB10" s="1022"/>
      <c r="EC10" s="1022"/>
      <c r="ED10" s="1022"/>
      <c r="EE10" s="1022"/>
      <c r="EF10" s="1022"/>
      <c r="EG10" s="1022"/>
      <c r="EH10" s="1022"/>
      <c r="EI10" s="1022"/>
      <c r="EJ10" s="1022"/>
      <c r="EK10" s="1022"/>
      <c r="EL10" s="1022"/>
      <c r="EM10" s="1022"/>
      <c r="EN10" s="1022"/>
      <c r="EO10" s="1022"/>
      <c r="EP10" s="1022"/>
      <c r="EQ10" s="1022"/>
      <c r="ER10" s="1022"/>
      <c r="ES10" s="1022"/>
      <c r="ET10" s="1022"/>
      <c r="EU10" s="1022"/>
      <c r="EV10" s="1022"/>
      <c r="EW10" s="1022"/>
      <c r="EX10" s="1022"/>
      <c r="EY10" s="1022"/>
      <c r="EZ10" s="1022"/>
      <c r="FA10" s="1022"/>
      <c r="FB10" s="1022"/>
      <c r="FC10" s="1022"/>
      <c r="FD10" s="1022"/>
      <c r="FE10" s="1022"/>
      <c r="FF10" s="1022"/>
      <c r="FG10" s="1022"/>
      <c r="FH10" s="1022"/>
      <c r="FI10" s="1022"/>
      <c r="FJ10" s="1022"/>
      <c r="FK10" s="1022"/>
      <c r="FL10" s="1022"/>
      <c r="FM10" s="1022"/>
      <c r="FN10" s="1022"/>
      <c r="FO10" s="1022"/>
      <c r="FP10" s="1022"/>
      <c r="FQ10" s="1022"/>
      <c r="FR10" s="1022"/>
      <c r="FS10" s="1022"/>
      <c r="FT10" s="1022"/>
      <c r="FU10" s="1022"/>
      <c r="FV10" s="1022"/>
      <c r="FW10" s="1022"/>
      <c r="FX10" s="1022"/>
      <c r="FY10" s="1022"/>
      <c r="FZ10" s="1022"/>
      <c r="GA10" s="1022"/>
      <c r="GB10" s="1022"/>
      <c r="GC10" s="1022"/>
      <c r="GD10" s="1022"/>
      <c r="GE10" s="1022"/>
      <c r="GF10" s="1022"/>
      <c r="GG10" s="1022"/>
      <c r="GH10" s="1022"/>
      <c r="GI10" s="1022"/>
      <c r="GJ10" s="1022"/>
      <c r="GK10" s="1022"/>
      <c r="GL10" s="1022"/>
      <c r="GM10" s="1022"/>
      <c r="GN10" s="1022"/>
      <c r="GO10" s="1022"/>
      <c r="GP10" s="1022"/>
      <c r="GQ10" s="1022"/>
      <c r="GR10" s="1022"/>
      <c r="GS10" s="1022"/>
      <c r="GT10" s="1022"/>
      <c r="GU10" s="1022"/>
      <c r="GV10" s="1022"/>
      <c r="GW10" s="1022"/>
      <c r="GX10" s="1022"/>
      <c r="GY10" s="1022"/>
      <c r="GZ10" s="1022"/>
      <c r="HA10" s="1022"/>
      <c r="HB10" s="1022"/>
      <c r="HC10" s="1022"/>
      <c r="HD10" s="1022"/>
      <c r="HE10" s="1022"/>
      <c r="HF10" s="1022"/>
      <c r="HG10" s="1022"/>
      <c r="HH10" s="1022"/>
      <c r="HI10" s="1022"/>
      <c r="HJ10" s="1022"/>
      <c r="HK10" s="1022"/>
      <c r="HL10" s="1022"/>
      <c r="HM10" s="1022"/>
      <c r="HN10" s="1022"/>
      <c r="HO10" s="1022"/>
      <c r="HP10" s="1022"/>
      <c r="HQ10" s="1022"/>
      <c r="HR10" s="1022"/>
      <c r="HS10" s="1022"/>
      <c r="HT10" s="1022"/>
      <c r="HU10" s="1022"/>
      <c r="HV10" s="1022"/>
      <c r="HW10" s="1022"/>
      <c r="HX10" s="1022"/>
      <c r="HY10" s="1022"/>
      <c r="HZ10" s="1022"/>
      <c r="IA10" s="1022"/>
      <c r="IB10" s="1022"/>
      <c r="IC10" s="1022"/>
      <c r="ID10" s="1022"/>
      <c r="IE10" s="1022"/>
    </row>
    <row r="11" spans="1:239" s="3" customFormat="1" ht="30" customHeight="1" thickBot="1">
      <c r="A11" s="736" t="s">
        <v>482</v>
      </c>
      <c r="B11" s="69"/>
      <c r="C11" s="69"/>
      <c r="D11" s="69"/>
      <c r="E11" s="69"/>
      <c r="F11" s="69"/>
      <c r="G11" s="69"/>
      <c r="H11" s="69"/>
      <c r="I11" s="69"/>
      <c r="J11" s="69"/>
      <c r="K11" s="69"/>
      <c r="L11" s="1031"/>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row>
    <row r="12" spans="1:239" s="17" customFormat="1" ht="93.75" customHeight="1" thickBot="1">
      <c r="A12" s="2241"/>
      <c r="B12" s="2248"/>
      <c r="C12" s="867" t="s">
        <v>123</v>
      </c>
      <c r="D12" s="867" t="s">
        <v>124</v>
      </c>
      <c r="E12" s="867" t="s">
        <v>599</v>
      </c>
      <c r="F12" s="2405" t="s">
        <v>577</v>
      </c>
      <c r="G12" s="2406"/>
      <c r="H12" s="867" t="s">
        <v>131</v>
      </c>
      <c r="I12" s="867" t="s">
        <v>125</v>
      </c>
      <c r="J12" s="867" t="s">
        <v>599</v>
      </c>
      <c r="K12" s="1010" t="s">
        <v>577</v>
      </c>
      <c r="L12" s="1032"/>
      <c r="M12" s="1022"/>
      <c r="N12" s="2241" t="str">
        <f>IF('PR_Programmatic Progress_1A'!P10="Select","Please select currency on Page 'PR_Programmatic Achievement (1)'", "All amounts are in: "&amp;'PR_Programmatic Progress_1A'!P10)</f>
        <v xml:space="preserve">All amounts are in: </v>
      </c>
      <c r="O12" s="2248"/>
      <c r="P12" s="867" t="s">
        <v>123</v>
      </c>
      <c r="Q12" s="867" t="s">
        <v>124</v>
      </c>
      <c r="R12" s="867" t="s">
        <v>599</v>
      </c>
      <c r="S12" s="2405" t="s">
        <v>577</v>
      </c>
      <c r="T12" s="2406"/>
      <c r="U12" s="867" t="s">
        <v>131</v>
      </c>
      <c r="V12" s="867" t="s">
        <v>125</v>
      </c>
      <c r="W12" s="867" t="s">
        <v>599</v>
      </c>
      <c r="X12" s="1079" t="s">
        <v>577</v>
      </c>
      <c r="Y12" s="1022"/>
      <c r="Z12" s="1022"/>
      <c r="AA12" s="1022"/>
      <c r="AB12" s="1022"/>
      <c r="AC12" s="1022"/>
      <c r="AD12" s="1022"/>
      <c r="AE12" s="1022"/>
      <c r="AF12" s="1022"/>
      <c r="AG12" s="1022"/>
      <c r="AH12" s="1022"/>
      <c r="AI12" s="1022"/>
      <c r="AJ12" s="1022"/>
      <c r="AK12" s="1022"/>
      <c r="AL12" s="1022"/>
      <c r="AM12" s="1022"/>
      <c r="AN12" s="1022"/>
      <c r="AO12" s="1022"/>
      <c r="AP12" s="1022"/>
      <c r="AQ12" s="1022"/>
      <c r="AR12" s="1022"/>
      <c r="AS12" s="1022"/>
      <c r="AT12" s="1022"/>
      <c r="AU12" s="1022"/>
      <c r="AV12" s="1022"/>
      <c r="AW12" s="1022"/>
      <c r="AX12" s="1022"/>
      <c r="AY12" s="1022"/>
      <c r="AZ12" s="1022"/>
      <c r="BA12" s="1022"/>
      <c r="BB12" s="1022"/>
      <c r="BC12" s="1022"/>
      <c r="BD12" s="1022"/>
      <c r="BE12" s="1022"/>
      <c r="BF12" s="1022"/>
      <c r="BG12" s="1022"/>
      <c r="BH12" s="1022"/>
      <c r="BI12" s="1022"/>
      <c r="BJ12" s="1022"/>
      <c r="BK12" s="1022"/>
      <c r="BL12" s="1022"/>
      <c r="BM12" s="1022"/>
      <c r="BN12" s="1022"/>
      <c r="BO12" s="1022"/>
      <c r="BP12" s="1022"/>
      <c r="BQ12" s="1022"/>
      <c r="BR12" s="1022"/>
      <c r="BS12" s="1022"/>
      <c r="BT12" s="1022"/>
      <c r="BU12" s="1022"/>
      <c r="BV12" s="1022"/>
      <c r="BW12" s="1022"/>
      <c r="BX12" s="1022"/>
      <c r="BY12" s="1022"/>
      <c r="BZ12" s="1022"/>
      <c r="CA12" s="1022"/>
      <c r="CB12" s="1022"/>
      <c r="CC12" s="1022"/>
      <c r="CD12" s="1022"/>
      <c r="CE12" s="1022"/>
      <c r="CF12" s="1022"/>
      <c r="CG12" s="1022"/>
      <c r="CH12" s="1022"/>
      <c r="CI12" s="1022"/>
      <c r="CJ12" s="1022"/>
      <c r="CK12" s="1022"/>
      <c r="CL12" s="1022"/>
      <c r="CM12" s="1022"/>
      <c r="CN12" s="1022"/>
      <c r="CO12" s="1022"/>
      <c r="CP12" s="1022"/>
      <c r="CQ12" s="1022"/>
      <c r="CR12" s="1022"/>
      <c r="CS12" s="1022"/>
      <c r="CT12" s="1022"/>
      <c r="CU12" s="1022"/>
      <c r="CV12" s="1022"/>
      <c r="CW12" s="1022"/>
      <c r="CX12" s="1022"/>
      <c r="CY12" s="1022"/>
      <c r="CZ12" s="1022"/>
      <c r="DA12" s="1022"/>
      <c r="DB12" s="1022"/>
      <c r="DC12" s="1022"/>
      <c r="DD12" s="1022"/>
      <c r="DE12" s="1022"/>
      <c r="DF12" s="1022"/>
      <c r="DG12" s="1022"/>
      <c r="DH12" s="1022"/>
      <c r="DI12" s="1022"/>
      <c r="DJ12" s="1022"/>
      <c r="DK12" s="1022"/>
      <c r="DL12" s="1022"/>
      <c r="DM12" s="1022"/>
      <c r="DN12" s="1022"/>
      <c r="DO12" s="1022"/>
      <c r="DP12" s="1022"/>
      <c r="DQ12" s="1022"/>
      <c r="DR12" s="1022"/>
      <c r="DS12" s="1022"/>
      <c r="DT12" s="1022"/>
      <c r="DU12" s="1022"/>
      <c r="DV12" s="1022"/>
      <c r="DW12" s="1022"/>
      <c r="DX12" s="1022"/>
      <c r="DY12" s="1022"/>
      <c r="DZ12" s="1022"/>
      <c r="EA12" s="1022"/>
      <c r="EB12" s="1022"/>
      <c r="EC12" s="1022"/>
      <c r="ED12" s="1022"/>
      <c r="EE12" s="1022"/>
      <c r="EF12" s="1022"/>
      <c r="EG12" s="1022"/>
      <c r="EH12" s="1022"/>
      <c r="EI12" s="1022"/>
      <c r="EJ12" s="1022"/>
      <c r="EK12" s="1022"/>
      <c r="EL12" s="1022"/>
      <c r="EM12" s="1022"/>
      <c r="EN12" s="1022"/>
      <c r="EO12" s="1022"/>
      <c r="EP12" s="1022"/>
      <c r="EQ12" s="1022"/>
      <c r="ER12" s="1022"/>
      <c r="ES12" s="1022"/>
      <c r="ET12" s="1022"/>
      <c r="EU12" s="1022"/>
      <c r="EV12" s="1022"/>
      <c r="EW12" s="1022"/>
      <c r="EX12" s="1022"/>
      <c r="EY12" s="1022"/>
      <c r="EZ12" s="1022"/>
      <c r="FA12" s="1022"/>
      <c r="FB12" s="1022"/>
      <c r="FC12" s="1022"/>
      <c r="FD12" s="1022"/>
      <c r="FE12" s="1022"/>
      <c r="FF12" s="1022"/>
      <c r="FG12" s="1022"/>
      <c r="FH12" s="1022"/>
      <c r="FI12" s="1022"/>
      <c r="FJ12" s="1022"/>
      <c r="FK12" s="1022"/>
      <c r="FL12" s="1022"/>
      <c r="FM12" s="1022"/>
      <c r="FN12" s="1022"/>
      <c r="FO12" s="1022"/>
      <c r="FP12" s="1022"/>
      <c r="FQ12" s="1022"/>
      <c r="FR12" s="1022"/>
      <c r="FS12" s="1022"/>
      <c r="FT12" s="1022"/>
      <c r="FU12" s="1022"/>
      <c r="FV12" s="1022"/>
      <c r="FW12" s="1022"/>
      <c r="FX12" s="1022"/>
      <c r="FY12" s="1022"/>
      <c r="FZ12" s="1022"/>
      <c r="GA12" s="1022"/>
      <c r="GB12" s="1022"/>
      <c r="GC12" s="1022"/>
      <c r="GD12" s="1022"/>
      <c r="GE12" s="1022"/>
      <c r="GF12" s="1022"/>
      <c r="GG12" s="1022"/>
      <c r="GH12" s="1022"/>
      <c r="GI12" s="1022"/>
      <c r="GJ12" s="1022"/>
      <c r="GK12" s="1022"/>
      <c r="GL12" s="1022"/>
      <c r="GM12" s="1022"/>
      <c r="GN12" s="1022"/>
      <c r="GO12" s="1022"/>
      <c r="GP12" s="1022"/>
      <c r="GQ12" s="1022"/>
      <c r="GR12" s="1022"/>
      <c r="GS12" s="1022"/>
      <c r="GT12" s="1022"/>
      <c r="GU12" s="1022"/>
      <c r="GV12" s="1022"/>
      <c r="GW12" s="1022"/>
      <c r="GX12" s="1022"/>
      <c r="GY12" s="1022"/>
      <c r="GZ12" s="1022"/>
      <c r="HA12" s="1022"/>
      <c r="HB12" s="1022"/>
      <c r="HC12" s="1022"/>
      <c r="HD12" s="1022"/>
      <c r="HE12" s="1022"/>
      <c r="HF12" s="1022"/>
      <c r="HG12" s="1022"/>
      <c r="HH12" s="1022"/>
      <c r="HI12" s="1022"/>
      <c r="HJ12" s="1022"/>
      <c r="HK12" s="1022"/>
      <c r="HL12" s="1022"/>
      <c r="HM12" s="1022"/>
      <c r="HN12" s="1022"/>
      <c r="HO12" s="1022"/>
      <c r="HP12" s="1022"/>
      <c r="HQ12" s="1022"/>
      <c r="HR12" s="1022"/>
      <c r="HS12" s="1022"/>
      <c r="HT12" s="1022"/>
      <c r="HU12" s="1022"/>
      <c r="HV12" s="1022"/>
      <c r="HW12" s="1022"/>
      <c r="HX12" s="1022"/>
      <c r="HY12" s="1022"/>
      <c r="HZ12" s="1022"/>
      <c r="IA12" s="1022"/>
      <c r="IB12" s="1022"/>
      <c r="IC12" s="1022"/>
      <c r="ID12" s="1022"/>
      <c r="IE12" s="1022"/>
    </row>
    <row r="13" spans="1:239" s="17" customFormat="1" ht="21" customHeight="1">
      <c r="A13" s="2438" t="s">
        <v>355</v>
      </c>
      <c r="B13" s="2439"/>
      <c r="C13" s="1516">
        <f>C14+C15</f>
        <v>106874</v>
      </c>
      <c r="D13" s="1516">
        <f>D14+D15</f>
        <v>115743.48000000001</v>
      </c>
      <c r="E13" s="1516">
        <f>IF(C13="",IF(D13="","",C13-D13),C13-D13)</f>
        <v>-8869.4800000000105</v>
      </c>
      <c r="F13" s="2407"/>
      <c r="G13" s="2408"/>
      <c r="H13" s="1516">
        <f>H14+H15</f>
        <v>2337042.0700000003</v>
      </c>
      <c r="I13" s="1516">
        <f>I14+I15</f>
        <v>2044349.48</v>
      </c>
      <c r="J13" s="1516">
        <f>IF(H13="",IF(I13="","",H13-I13),H13-I13)</f>
        <v>292692.59000000032</v>
      </c>
      <c r="K13" s="1026"/>
      <c r="L13" s="1032"/>
      <c r="M13" s="1022"/>
      <c r="N13" s="2438" t="s">
        <v>355</v>
      </c>
      <c r="O13" s="2439"/>
      <c r="P13" s="868">
        <f>P14+P15</f>
        <v>106874</v>
      </c>
      <c r="Q13" s="868">
        <f>Q14+Q15</f>
        <v>128493.31</v>
      </c>
      <c r="R13" s="868">
        <f>IF(P13="",IF(Q13="","",P13-Q13),P13-Q13)</f>
        <v>-21619.309999999998</v>
      </c>
      <c r="S13" s="2407"/>
      <c r="T13" s="2408"/>
      <c r="U13" s="868">
        <f>U14+U15</f>
        <v>2445149.0700000003</v>
      </c>
      <c r="V13" s="868">
        <f>V14+V15</f>
        <v>2147300.1100000003</v>
      </c>
      <c r="W13" s="868">
        <f>IF(U13="",IF(V13="","",U13-V13),U13-V13)</f>
        <v>297848.95999999996</v>
      </c>
      <c r="X13" s="1082"/>
      <c r="Y13" s="1022"/>
      <c r="Z13" s="1022"/>
      <c r="AA13" s="1022"/>
      <c r="AB13" s="1022"/>
      <c r="AC13" s="1022"/>
      <c r="AD13" s="1022"/>
      <c r="AE13" s="1022"/>
      <c r="AF13" s="1022"/>
      <c r="AG13" s="1022"/>
      <c r="AH13" s="1022"/>
      <c r="AI13" s="1022"/>
      <c r="AJ13" s="1022"/>
      <c r="AK13" s="1022"/>
      <c r="AL13" s="1022"/>
      <c r="AM13" s="1022"/>
      <c r="AN13" s="1022"/>
      <c r="AO13" s="1022"/>
      <c r="AP13" s="1022"/>
      <c r="AQ13" s="1022"/>
      <c r="AR13" s="1022"/>
      <c r="AS13" s="1022"/>
      <c r="AT13" s="1022"/>
      <c r="AU13" s="1022"/>
      <c r="AV13" s="1022"/>
      <c r="AW13" s="1022"/>
      <c r="AX13" s="1022"/>
      <c r="AY13" s="1022"/>
      <c r="AZ13" s="1022"/>
      <c r="BA13" s="1022"/>
      <c r="BB13" s="1022"/>
      <c r="BC13" s="1022"/>
      <c r="BD13" s="1022"/>
      <c r="BE13" s="1022"/>
      <c r="BF13" s="1022"/>
      <c r="BG13" s="1022"/>
      <c r="BH13" s="1022"/>
      <c r="BI13" s="1022"/>
      <c r="BJ13" s="1022"/>
      <c r="BK13" s="1022"/>
      <c r="BL13" s="1022"/>
      <c r="BM13" s="1022"/>
      <c r="BN13" s="1022"/>
      <c r="BO13" s="1022"/>
      <c r="BP13" s="1022"/>
      <c r="BQ13" s="1022"/>
      <c r="BR13" s="1022"/>
      <c r="BS13" s="1022"/>
      <c r="BT13" s="1022"/>
      <c r="BU13" s="1022"/>
      <c r="BV13" s="1022"/>
      <c r="BW13" s="1022"/>
      <c r="BX13" s="1022"/>
      <c r="BY13" s="1022"/>
      <c r="BZ13" s="1022"/>
      <c r="CA13" s="1022"/>
      <c r="CB13" s="1022"/>
      <c r="CC13" s="1022"/>
      <c r="CD13" s="1022"/>
      <c r="CE13" s="1022"/>
      <c r="CF13" s="1022"/>
      <c r="CG13" s="1022"/>
      <c r="CH13" s="1022"/>
      <c r="CI13" s="1022"/>
      <c r="CJ13" s="1022"/>
      <c r="CK13" s="1022"/>
      <c r="CL13" s="1022"/>
      <c r="CM13" s="1022"/>
      <c r="CN13" s="1022"/>
      <c r="CO13" s="1022"/>
      <c r="CP13" s="1022"/>
      <c r="CQ13" s="1022"/>
      <c r="CR13" s="1022"/>
      <c r="CS13" s="1022"/>
      <c r="CT13" s="1022"/>
      <c r="CU13" s="1022"/>
      <c r="CV13" s="1022"/>
      <c r="CW13" s="1022"/>
      <c r="CX13" s="1022"/>
      <c r="CY13" s="1022"/>
      <c r="CZ13" s="1022"/>
      <c r="DA13" s="1022"/>
      <c r="DB13" s="1022"/>
      <c r="DC13" s="1022"/>
      <c r="DD13" s="1022"/>
      <c r="DE13" s="1022"/>
      <c r="DF13" s="1022"/>
      <c r="DG13" s="1022"/>
      <c r="DH13" s="1022"/>
      <c r="DI13" s="1022"/>
      <c r="DJ13" s="1022"/>
      <c r="DK13" s="1022"/>
      <c r="DL13" s="1022"/>
      <c r="DM13" s="1022"/>
      <c r="DN13" s="1022"/>
      <c r="DO13" s="1022"/>
      <c r="DP13" s="1022"/>
      <c r="DQ13" s="1022"/>
      <c r="DR13" s="1022"/>
      <c r="DS13" s="1022"/>
      <c r="DT13" s="1022"/>
      <c r="DU13" s="1022"/>
      <c r="DV13" s="1022"/>
      <c r="DW13" s="1022"/>
      <c r="DX13" s="1022"/>
      <c r="DY13" s="1022"/>
      <c r="DZ13" s="1022"/>
      <c r="EA13" s="1022"/>
      <c r="EB13" s="1022"/>
      <c r="EC13" s="1022"/>
      <c r="ED13" s="1022"/>
      <c r="EE13" s="1022"/>
      <c r="EF13" s="1022"/>
      <c r="EG13" s="1022"/>
      <c r="EH13" s="1022"/>
      <c r="EI13" s="1022"/>
      <c r="EJ13" s="1022"/>
      <c r="EK13" s="1022"/>
      <c r="EL13" s="1022"/>
      <c r="EM13" s="1022"/>
      <c r="EN13" s="1022"/>
      <c r="EO13" s="1022"/>
      <c r="EP13" s="1022"/>
      <c r="EQ13" s="1022"/>
      <c r="ER13" s="1022"/>
      <c r="ES13" s="1022"/>
      <c r="ET13" s="1022"/>
      <c r="EU13" s="1022"/>
      <c r="EV13" s="1022"/>
      <c r="EW13" s="1022"/>
      <c r="EX13" s="1022"/>
      <c r="EY13" s="1022"/>
      <c r="EZ13" s="1022"/>
      <c r="FA13" s="1022"/>
      <c r="FB13" s="1022"/>
      <c r="FC13" s="1022"/>
      <c r="FD13" s="1022"/>
      <c r="FE13" s="1022"/>
      <c r="FF13" s="1022"/>
      <c r="FG13" s="1022"/>
      <c r="FH13" s="1022"/>
      <c r="FI13" s="1022"/>
      <c r="FJ13" s="1022"/>
      <c r="FK13" s="1022"/>
      <c r="FL13" s="1022"/>
      <c r="FM13" s="1022"/>
      <c r="FN13" s="1022"/>
      <c r="FO13" s="1022"/>
      <c r="FP13" s="1022"/>
      <c r="FQ13" s="1022"/>
      <c r="FR13" s="1022"/>
      <c r="FS13" s="1022"/>
      <c r="FT13" s="1022"/>
      <c r="FU13" s="1022"/>
      <c r="FV13" s="1022"/>
      <c r="FW13" s="1022"/>
      <c r="FX13" s="1022"/>
      <c r="FY13" s="1022"/>
      <c r="FZ13" s="1022"/>
      <c r="GA13" s="1022"/>
      <c r="GB13" s="1022"/>
      <c r="GC13" s="1022"/>
      <c r="GD13" s="1022"/>
      <c r="GE13" s="1022"/>
      <c r="GF13" s="1022"/>
      <c r="GG13" s="1022"/>
      <c r="GH13" s="1022"/>
      <c r="GI13" s="1022"/>
      <c r="GJ13" s="1022"/>
      <c r="GK13" s="1022"/>
      <c r="GL13" s="1022"/>
      <c r="GM13" s="1022"/>
      <c r="GN13" s="1022"/>
      <c r="GO13" s="1022"/>
      <c r="GP13" s="1022"/>
      <c r="GQ13" s="1022"/>
      <c r="GR13" s="1022"/>
      <c r="GS13" s="1022"/>
      <c r="GT13" s="1022"/>
      <c r="GU13" s="1022"/>
      <c r="GV13" s="1022"/>
      <c r="GW13" s="1022"/>
      <c r="GX13" s="1022"/>
      <c r="GY13" s="1022"/>
      <c r="GZ13" s="1022"/>
      <c r="HA13" s="1022"/>
      <c r="HB13" s="1022"/>
      <c r="HC13" s="1022"/>
      <c r="HD13" s="1022"/>
      <c r="HE13" s="1022"/>
      <c r="HF13" s="1022"/>
      <c r="HG13" s="1022"/>
      <c r="HH13" s="1022"/>
      <c r="HI13" s="1022"/>
      <c r="HJ13" s="1022"/>
      <c r="HK13" s="1022"/>
      <c r="HL13" s="1022"/>
      <c r="HM13" s="1022"/>
      <c r="HN13" s="1022"/>
      <c r="HO13" s="1022"/>
      <c r="HP13" s="1022"/>
      <c r="HQ13" s="1022"/>
      <c r="HR13" s="1022"/>
      <c r="HS13" s="1022"/>
      <c r="HT13" s="1022"/>
      <c r="HU13" s="1022"/>
      <c r="HV13" s="1022"/>
      <c r="HW13" s="1022"/>
      <c r="HX13" s="1022"/>
      <c r="HY13" s="1022"/>
      <c r="HZ13" s="1022"/>
      <c r="IA13" s="1022"/>
      <c r="IB13" s="1022"/>
      <c r="IC13" s="1022"/>
      <c r="ID13" s="1022"/>
      <c r="IE13" s="1022"/>
    </row>
    <row r="14" spans="1:239" s="17" customFormat="1" ht="167.25" customHeight="1">
      <c r="A14" s="2409" t="s">
        <v>601</v>
      </c>
      <c r="B14" s="2410"/>
      <c r="C14" s="1517">
        <f>P14</f>
        <v>34989</v>
      </c>
      <c r="D14" s="1517">
        <v>77400.13</v>
      </c>
      <c r="E14" s="1518">
        <f>IF(C14="",IF(D14="",0,C14-D14),C14-D14)</f>
        <v>-42411.130000000005</v>
      </c>
      <c r="F14" s="2416" t="s">
        <v>1136</v>
      </c>
      <c r="G14" s="2417"/>
      <c r="H14" s="1517">
        <f>981106+C14</f>
        <v>1016095</v>
      </c>
      <c r="I14" s="1517">
        <f>905832+D14</f>
        <v>983232.13</v>
      </c>
      <c r="J14" s="1518">
        <f>IF(H14="",IF(I14="",0,H14-I14),H14-I14)</f>
        <v>32862.869999999995</v>
      </c>
      <c r="K14" s="1569" t="s">
        <v>1065</v>
      </c>
      <c r="L14" s="1032"/>
      <c r="M14" s="1022"/>
      <c r="N14" s="2409" t="s">
        <v>601</v>
      </c>
      <c r="O14" s="2410"/>
      <c r="P14" s="747">
        <f>'PR_Total PR Cash Outflow_3A'!C13</f>
        <v>34989</v>
      </c>
      <c r="Q14" s="747">
        <f>'PR_Total PR Cash Outflow_3A'!D13</f>
        <v>31065.63</v>
      </c>
      <c r="R14" s="748">
        <f>IF(P14="",IF(Q14="",0,P14-Q14),P14-Q14)</f>
        <v>3923.369999999999</v>
      </c>
      <c r="S14" s="2414"/>
      <c r="T14" s="2415"/>
      <c r="U14" s="747">
        <f>'PR_Total PR Cash Outflow_3A'!H13</f>
        <v>1109367</v>
      </c>
      <c r="V14" s="747">
        <f>'PR_Total PR Cash Outflow_3A'!I13</f>
        <v>1014297.76</v>
      </c>
      <c r="W14" s="748">
        <f>IF(U14="",IF(V14="",0,U14-V14),U14-V14)</f>
        <v>95069.239999999991</v>
      </c>
      <c r="X14" s="1083"/>
      <c r="Y14" s="1022"/>
      <c r="Z14" s="1022"/>
      <c r="AA14" s="1022"/>
      <c r="AB14" s="1022"/>
      <c r="AC14" s="1022"/>
      <c r="AD14" s="1022"/>
      <c r="AE14" s="1022"/>
      <c r="AF14" s="1022"/>
      <c r="AG14" s="1022"/>
      <c r="AH14" s="1022"/>
      <c r="AI14" s="1022"/>
      <c r="AJ14" s="1022"/>
      <c r="AK14" s="1022"/>
      <c r="AL14" s="1022"/>
      <c r="AM14" s="1022"/>
      <c r="AN14" s="1022"/>
      <c r="AO14" s="1022"/>
      <c r="AP14" s="1022"/>
      <c r="AQ14" s="1022"/>
      <c r="AR14" s="1022"/>
      <c r="AS14" s="1022"/>
      <c r="AT14" s="1022"/>
      <c r="AU14" s="1022"/>
      <c r="AV14" s="1022"/>
      <c r="AW14" s="1022"/>
      <c r="AX14" s="1022"/>
      <c r="AY14" s="1022"/>
      <c r="AZ14" s="1022"/>
      <c r="BA14" s="1022"/>
      <c r="BB14" s="1022"/>
      <c r="BC14" s="1022"/>
      <c r="BD14" s="1022"/>
      <c r="BE14" s="1022"/>
      <c r="BF14" s="1022"/>
      <c r="BG14" s="1022"/>
      <c r="BH14" s="1022"/>
      <c r="BI14" s="1022"/>
      <c r="BJ14" s="1022"/>
      <c r="BK14" s="1022"/>
      <c r="BL14" s="1022"/>
      <c r="BM14" s="1022"/>
      <c r="BN14" s="1022"/>
      <c r="BO14" s="1022"/>
      <c r="BP14" s="1022"/>
      <c r="BQ14" s="1022"/>
      <c r="BR14" s="1022"/>
      <c r="BS14" s="1022"/>
      <c r="BT14" s="1022"/>
      <c r="BU14" s="1022"/>
      <c r="BV14" s="1022"/>
      <c r="BW14" s="1022"/>
      <c r="BX14" s="1022"/>
      <c r="BY14" s="1022"/>
      <c r="BZ14" s="1022"/>
      <c r="CA14" s="1022"/>
      <c r="CB14" s="1022"/>
      <c r="CC14" s="1022"/>
      <c r="CD14" s="1022"/>
      <c r="CE14" s="1022"/>
      <c r="CF14" s="1022"/>
      <c r="CG14" s="1022"/>
      <c r="CH14" s="1022"/>
      <c r="CI14" s="1022"/>
      <c r="CJ14" s="1022"/>
      <c r="CK14" s="1022"/>
      <c r="CL14" s="1022"/>
      <c r="CM14" s="1022"/>
      <c r="CN14" s="1022"/>
      <c r="CO14" s="1022"/>
      <c r="CP14" s="1022"/>
      <c r="CQ14" s="1022"/>
      <c r="CR14" s="1022"/>
      <c r="CS14" s="1022"/>
      <c r="CT14" s="1022"/>
      <c r="CU14" s="1022"/>
      <c r="CV14" s="1022"/>
      <c r="CW14" s="1022"/>
      <c r="CX14" s="1022"/>
      <c r="CY14" s="1022"/>
      <c r="CZ14" s="1022"/>
      <c r="DA14" s="1022"/>
      <c r="DB14" s="1022"/>
      <c r="DC14" s="1022"/>
      <c r="DD14" s="1022"/>
      <c r="DE14" s="1022"/>
      <c r="DF14" s="1022"/>
      <c r="DG14" s="1022"/>
      <c r="DH14" s="1022"/>
      <c r="DI14" s="1022"/>
      <c r="DJ14" s="1022"/>
      <c r="DK14" s="1022"/>
      <c r="DL14" s="1022"/>
      <c r="DM14" s="1022"/>
      <c r="DN14" s="1022"/>
      <c r="DO14" s="1022"/>
      <c r="DP14" s="1022"/>
      <c r="DQ14" s="1022"/>
      <c r="DR14" s="1022"/>
      <c r="DS14" s="1022"/>
      <c r="DT14" s="1022"/>
      <c r="DU14" s="1022"/>
      <c r="DV14" s="1022"/>
      <c r="DW14" s="1022"/>
      <c r="DX14" s="1022"/>
      <c r="DY14" s="1022"/>
      <c r="DZ14" s="1022"/>
      <c r="EA14" s="1022"/>
      <c r="EB14" s="1022"/>
      <c r="EC14" s="1022"/>
      <c r="ED14" s="1022"/>
      <c r="EE14" s="1022"/>
      <c r="EF14" s="1022"/>
      <c r="EG14" s="1022"/>
      <c r="EH14" s="1022"/>
      <c r="EI14" s="1022"/>
      <c r="EJ14" s="1022"/>
      <c r="EK14" s="1022"/>
      <c r="EL14" s="1022"/>
      <c r="EM14" s="1022"/>
      <c r="EN14" s="1022"/>
      <c r="EO14" s="1022"/>
      <c r="EP14" s="1022"/>
      <c r="EQ14" s="1022"/>
      <c r="ER14" s="1022"/>
      <c r="ES14" s="1022"/>
      <c r="ET14" s="1022"/>
      <c r="EU14" s="1022"/>
      <c r="EV14" s="1022"/>
      <c r="EW14" s="1022"/>
      <c r="EX14" s="1022"/>
      <c r="EY14" s="1022"/>
      <c r="EZ14" s="1022"/>
      <c r="FA14" s="1022"/>
      <c r="FB14" s="1022"/>
      <c r="FC14" s="1022"/>
      <c r="FD14" s="1022"/>
      <c r="FE14" s="1022"/>
      <c r="FF14" s="1022"/>
      <c r="FG14" s="1022"/>
      <c r="FH14" s="1022"/>
      <c r="FI14" s="1022"/>
      <c r="FJ14" s="1022"/>
      <c r="FK14" s="1022"/>
      <c r="FL14" s="1022"/>
      <c r="FM14" s="1022"/>
      <c r="FN14" s="1022"/>
      <c r="FO14" s="1022"/>
      <c r="FP14" s="1022"/>
      <c r="FQ14" s="1022"/>
      <c r="FR14" s="1022"/>
      <c r="FS14" s="1022"/>
      <c r="FT14" s="1022"/>
      <c r="FU14" s="1022"/>
      <c r="FV14" s="1022"/>
      <c r="FW14" s="1022"/>
      <c r="FX14" s="1022"/>
      <c r="FY14" s="1022"/>
      <c r="FZ14" s="1022"/>
      <c r="GA14" s="1022"/>
      <c r="GB14" s="1022"/>
      <c r="GC14" s="1022"/>
      <c r="GD14" s="1022"/>
      <c r="GE14" s="1022"/>
      <c r="GF14" s="1022"/>
      <c r="GG14" s="1022"/>
      <c r="GH14" s="1022"/>
      <c r="GI14" s="1022"/>
      <c r="GJ14" s="1022"/>
      <c r="GK14" s="1022"/>
      <c r="GL14" s="1022"/>
      <c r="GM14" s="1022"/>
      <c r="GN14" s="1022"/>
      <c r="GO14" s="1022"/>
      <c r="GP14" s="1022"/>
      <c r="GQ14" s="1022"/>
      <c r="GR14" s="1022"/>
      <c r="GS14" s="1022"/>
      <c r="GT14" s="1022"/>
      <c r="GU14" s="1022"/>
      <c r="GV14" s="1022"/>
      <c r="GW14" s="1022"/>
      <c r="GX14" s="1022"/>
      <c r="GY14" s="1022"/>
      <c r="GZ14" s="1022"/>
      <c r="HA14" s="1022"/>
      <c r="HB14" s="1022"/>
      <c r="HC14" s="1022"/>
      <c r="HD14" s="1022"/>
      <c r="HE14" s="1022"/>
      <c r="HF14" s="1022"/>
      <c r="HG14" s="1022"/>
      <c r="HH14" s="1022"/>
      <c r="HI14" s="1022"/>
      <c r="HJ14" s="1022"/>
      <c r="HK14" s="1022"/>
      <c r="HL14" s="1022"/>
      <c r="HM14" s="1022"/>
      <c r="HN14" s="1022"/>
      <c r="HO14" s="1022"/>
      <c r="HP14" s="1022"/>
      <c r="HQ14" s="1022"/>
      <c r="HR14" s="1022"/>
      <c r="HS14" s="1022"/>
      <c r="HT14" s="1022"/>
      <c r="HU14" s="1022"/>
      <c r="HV14" s="1022"/>
      <c r="HW14" s="1022"/>
      <c r="HX14" s="1022"/>
      <c r="HY14" s="1022"/>
      <c r="HZ14" s="1022"/>
      <c r="IA14" s="1022"/>
      <c r="IB14" s="1022"/>
      <c r="IC14" s="1022"/>
      <c r="ID14" s="1022"/>
      <c r="IE14" s="1022"/>
    </row>
    <row r="15" spans="1:239" s="17" customFormat="1" ht="167.25" customHeight="1" thickBot="1">
      <c r="A15" s="2440" t="s">
        <v>602</v>
      </c>
      <c r="B15" s="2441"/>
      <c r="C15" s="1519">
        <f>P15</f>
        <v>71885</v>
      </c>
      <c r="D15" s="1519">
        <v>38343.35</v>
      </c>
      <c r="E15" s="1520">
        <f>IF(C15="",IF(D15="",0,C15-D15),C15-D15)</f>
        <v>33541.65</v>
      </c>
      <c r="F15" s="2397" t="s">
        <v>1137</v>
      </c>
      <c r="G15" s="2398"/>
      <c r="H15" s="1519">
        <f>1249062.07+C15</f>
        <v>1320947.07</v>
      </c>
      <c r="I15" s="1519">
        <f>1022774+D15</f>
        <v>1061117.3500000001</v>
      </c>
      <c r="J15" s="1520">
        <f>IF(H15="",IF(I15="",0,H15-I15),H15-I15)</f>
        <v>259829.71999999997</v>
      </c>
      <c r="K15" s="1570" t="s">
        <v>1066</v>
      </c>
      <c r="L15" s="1032"/>
      <c r="M15" s="1022"/>
      <c r="N15" s="2440" t="s">
        <v>602</v>
      </c>
      <c r="O15" s="2441"/>
      <c r="P15" s="749">
        <f>'PR_Total PR Cash Outflow_3A'!C14</f>
        <v>71885</v>
      </c>
      <c r="Q15" s="749">
        <f>'PR_Total PR Cash Outflow_3A'!D14</f>
        <v>97427.68</v>
      </c>
      <c r="R15" s="750">
        <f>IF(P15="",IF(Q15="",0,P15-Q15),P15-Q15)</f>
        <v>-25542.679999999993</v>
      </c>
      <c r="S15" s="2399"/>
      <c r="T15" s="2400"/>
      <c r="U15" s="749">
        <f>'PR_Total PR Cash Outflow_3A'!H14</f>
        <v>1335782.07</v>
      </c>
      <c r="V15" s="749">
        <f>'PR_Total PR Cash Outflow_3A'!I14</f>
        <v>1133002.3500000001</v>
      </c>
      <c r="W15" s="750">
        <f>IF(U15="",IF(V15="",0,U15-V15),U15-V15)</f>
        <v>202779.71999999997</v>
      </c>
      <c r="X15" s="1084"/>
      <c r="Y15" s="1022"/>
      <c r="Z15" s="1022"/>
      <c r="AA15" s="1022"/>
      <c r="AB15" s="1022"/>
      <c r="AC15" s="1022"/>
      <c r="AD15" s="1022"/>
      <c r="AE15" s="1022"/>
      <c r="AF15" s="1022"/>
      <c r="AG15" s="1022"/>
      <c r="AH15" s="1022"/>
      <c r="AI15" s="1022"/>
      <c r="AJ15" s="1022"/>
      <c r="AK15" s="1022"/>
      <c r="AL15" s="1022"/>
      <c r="AM15" s="1022"/>
      <c r="AN15" s="1022"/>
      <c r="AO15" s="1022"/>
      <c r="AP15" s="1022"/>
      <c r="AQ15" s="1022"/>
      <c r="AR15" s="1022"/>
      <c r="AS15" s="1022"/>
      <c r="AT15" s="1022"/>
      <c r="AU15" s="1022"/>
      <c r="AV15" s="1022"/>
      <c r="AW15" s="1022"/>
      <c r="AX15" s="1022"/>
      <c r="AY15" s="1022"/>
      <c r="AZ15" s="1022"/>
      <c r="BA15" s="1022"/>
      <c r="BB15" s="1022"/>
      <c r="BC15" s="1022"/>
      <c r="BD15" s="1022"/>
      <c r="BE15" s="1022"/>
      <c r="BF15" s="1022"/>
      <c r="BG15" s="1022"/>
      <c r="BH15" s="1022"/>
      <c r="BI15" s="1022"/>
      <c r="BJ15" s="1022"/>
      <c r="BK15" s="1022"/>
      <c r="BL15" s="1022"/>
      <c r="BM15" s="1022"/>
      <c r="BN15" s="1022"/>
      <c r="BO15" s="1022"/>
      <c r="BP15" s="1022"/>
      <c r="BQ15" s="1022"/>
      <c r="BR15" s="1022"/>
      <c r="BS15" s="1022"/>
      <c r="BT15" s="1022"/>
      <c r="BU15" s="1022"/>
      <c r="BV15" s="1022"/>
      <c r="BW15" s="1022"/>
      <c r="BX15" s="1022"/>
      <c r="BY15" s="1022"/>
      <c r="BZ15" s="1022"/>
      <c r="CA15" s="1022"/>
      <c r="CB15" s="1022"/>
      <c r="CC15" s="1022"/>
      <c r="CD15" s="1022"/>
      <c r="CE15" s="1022"/>
      <c r="CF15" s="1022"/>
      <c r="CG15" s="1022"/>
      <c r="CH15" s="1022"/>
      <c r="CI15" s="1022"/>
      <c r="CJ15" s="1022"/>
      <c r="CK15" s="1022"/>
      <c r="CL15" s="1022"/>
      <c r="CM15" s="1022"/>
      <c r="CN15" s="1022"/>
      <c r="CO15" s="1022"/>
      <c r="CP15" s="1022"/>
      <c r="CQ15" s="1022"/>
      <c r="CR15" s="1022"/>
      <c r="CS15" s="1022"/>
      <c r="CT15" s="1022"/>
      <c r="CU15" s="1022"/>
      <c r="CV15" s="1022"/>
      <c r="CW15" s="1022"/>
      <c r="CX15" s="1022"/>
      <c r="CY15" s="1022"/>
      <c r="CZ15" s="1022"/>
      <c r="DA15" s="1022"/>
      <c r="DB15" s="1022"/>
      <c r="DC15" s="1022"/>
      <c r="DD15" s="1022"/>
      <c r="DE15" s="1022"/>
      <c r="DF15" s="1022"/>
      <c r="DG15" s="1022"/>
      <c r="DH15" s="1022"/>
      <c r="DI15" s="1022"/>
      <c r="DJ15" s="1022"/>
      <c r="DK15" s="1022"/>
      <c r="DL15" s="1022"/>
      <c r="DM15" s="1022"/>
      <c r="DN15" s="1022"/>
      <c r="DO15" s="1022"/>
      <c r="DP15" s="1022"/>
      <c r="DQ15" s="1022"/>
      <c r="DR15" s="1022"/>
      <c r="DS15" s="1022"/>
      <c r="DT15" s="1022"/>
      <c r="DU15" s="1022"/>
      <c r="DV15" s="1022"/>
      <c r="DW15" s="1022"/>
      <c r="DX15" s="1022"/>
      <c r="DY15" s="1022"/>
      <c r="DZ15" s="1022"/>
      <c r="EA15" s="1022"/>
      <c r="EB15" s="1022"/>
      <c r="EC15" s="1022"/>
      <c r="ED15" s="1022"/>
      <c r="EE15" s="1022"/>
      <c r="EF15" s="1022"/>
      <c r="EG15" s="1022"/>
      <c r="EH15" s="1022"/>
      <c r="EI15" s="1022"/>
      <c r="EJ15" s="1022"/>
      <c r="EK15" s="1022"/>
      <c r="EL15" s="1022"/>
      <c r="EM15" s="1022"/>
      <c r="EN15" s="1022"/>
      <c r="EO15" s="1022"/>
      <c r="EP15" s="1022"/>
      <c r="EQ15" s="1022"/>
      <c r="ER15" s="1022"/>
      <c r="ES15" s="1022"/>
      <c r="ET15" s="1022"/>
      <c r="EU15" s="1022"/>
      <c r="EV15" s="1022"/>
      <c r="EW15" s="1022"/>
      <c r="EX15" s="1022"/>
      <c r="EY15" s="1022"/>
      <c r="EZ15" s="1022"/>
      <c r="FA15" s="1022"/>
      <c r="FB15" s="1022"/>
      <c r="FC15" s="1022"/>
      <c r="FD15" s="1022"/>
      <c r="FE15" s="1022"/>
      <c r="FF15" s="1022"/>
      <c r="FG15" s="1022"/>
      <c r="FH15" s="1022"/>
      <c r="FI15" s="1022"/>
      <c r="FJ15" s="1022"/>
      <c r="FK15" s="1022"/>
      <c r="FL15" s="1022"/>
      <c r="FM15" s="1022"/>
      <c r="FN15" s="1022"/>
      <c r="FO15" s="1022"/>
      <c r="FP15" s="1022"/>
      <c r="FQ15" s="1022"/>
      <c r="FR15" s="1022"/>
      <c r="FS15" s="1022"/>
      <c r="FT15" s="1022"/>
      <c r="FU15" s="1022"/>
      <c r="FV15" s="1022"/>
      <c r="FW15" s="1022"/>
      <c r="FX15" s="1022"/>
      <c r="FY15" s="1022"/>
      <c r="FZ15" s="1022"/>
      <c r="GA15" s="1022"/>
      <c r="GB15" s="1022"/>
      <c r="GC15" s="1022"/>
      <c r="GD15" s="1022"/>
      <c r="GE15" s="1022"/>
      <c r="GF15" s="1022"/>
      <c r="GG15" s="1022"/>
      <c r="GH15" s="1022"/>
      <c r="GI15" s="1022"/>
      <c r="GJ15" s="1022"/>
      <c r="GK15" s="1022"/>
      <c r="GL15" s="1022"/>
      <c r="GM15" s="1022"/>
      <c r="GN15" s="1022"/>
      <c r="GO15" s="1022"/>
      <c r="GP15" s="1022"/>
      <c r="GQ15" s="1022"/>
      <c r="GR15" s="1022"/>
      <c r="GS15" s="1022"/>
      <c r="GT15" s="1022"/>
      <c r="GU15" s="1022"/>
      <c r="GV15" s="1022"/>
      <c r="GW15" s="1022"/>
      <c r="GX15" s="1022"/>
      <c r="GY15" s="1022"/>
      <c r="GZ15" s="1022"/>
      <c r="HA15" s="1022"/>
      <c r="HB15" s="1022"/>
      <c r="HC15" s="1022"/>
      <c r="HD15" s="1022"/>
      <c r="HE15" s="1022"/>
      <c r="HF15" s="1022"/>
      <c r="HG15" s="1022"/>
      <c r="HH15" s="1022"/>
      <c r="HI15" s="1022"/>
      <c r="HJ15" s="1022"/>
      <c r="HK15" s="1022"/>
      <c r="HL15" s="1022"/>
      <c r="HM15" s="1022"/>
      <c r="HN15" s="1022"/>
      <c r="HO15" s="1022"/>
      <c r="HP15" s="1022"/>
      <c r="HQ15" s="1022"/>
      <c r="HR15" s="1022"/>
      <c r="HS15" s="1022"/>
      <c r="HT15" s="1022"/>
      <c r="HU15" s="1022"/>
      <c r="HV15" s="1022"/>
      <c r="HW15" s="1022"/>
      <c r="HX15" s="1022"/>
      <c r="HY15" s="1022"/>
      <c r="HZ15" s="1022"/>
      <c r="IA15" s="1022"/>
      <c r="IB15" s="1022"/>
      <c r="IC15" s="1022"/>
      <c r="ID15" s="1022"/>
      <c r="IE15" s="1022"/>
    </row>
    <row r="16" spans="1:239" s="17" customFormat="1" ht="22.5" customHeight="1" thickBot="1">
      <c r="A16" s="474"/>
      <c r="B16" s="475"/>
      <c r="C16" s="361"/>
      <c r="D16" s="361"/>
      <c r="E16" s="361"/>
      <c r="F16" s="82"/>
      <c r="G16" s="82"/>
      <c r="H16" s="361"/>
      <c r="I16" s="361"/>
      <c r="J16" s="361"/>
      <c r="K16" s="82"/>
      <c r="L16" s="361"/>
      <c r="M16" s="1022"/>
      <c r="N16" s="1085"/>
      <c r="O16" s="475"/>
      <c r="P16" s="361"/>
      <c r="Q16" s="361"/>
      <c r="R16" s="361"/>
      <c r="S16" s="82"/>
      <c r="T16" s="82"/>
      <c r="U16" s="361"/>
      <c r="V16" s="361"/>
      <c r="W16" s="361"/>
      <c r="X16" s="1086"/>
      <c r="Y16" s="1022"/>
      <c r="Z16" s="1022"/>
      <c r="AA16" s="1022"/>
      <c r="AB16" s="1022"/>
      <c r="AC16" s="1022"/>
      <c r="AD16" s="1022"/>
      <c r="AE16" s="1022"/>
      <c r="AF16" s="1022"/>
      <c r="AG16" s="1022"/>
      <c r="AH16" s="1022"/>
      <c r="AI16" s="1022"/>
      <c r="AJ16" s="1022"/>
      <c r="AK16" s="1022"/>
      <c r="AL16" s="1022"/>
      <c r="AM16" s="1022"/>
      <c r="AN16" s="1022"/>
      <c r="AO16" s="1022"/>
      <c r="AP16" s="1022"/>
      <c r="AQ16" s="1022"/>
      <c r="AR16" s="1022"/>
      <c r="AS16" s="1022"/>
      <c r="AT16" s="1022"/>
      <c r="AU16" s="1022"/>
      <c r="AV16" s="1022"/>
      <c r="AW16" s="1022"/>
      <c r="AX16" s="1022"/>
      <c r="AY16" s="1022"/>
      <c r="AZ16" s="1022"/>
      <c r="BA16" s="1022"/>
      <c r="BB16" s="1022"/>
      <c r="BC16" s="1022"/>
      <c r="BD16" s="1022"/>
      <c r="BE16" s="1022"/>
      <c r="BF16" s="1022"/>
      <c r="BG16" s="1022"/>
      <c r="BH16" s="1022"/>
      <c r="BI16" s="1022"/>
      <c r="BJ16" s="1022"/>
      <c r="BK16" s="1022"/>
      <c r="BL16" s="1022"/>
      <c r="BM16" s="1022"/>
      <c r="BN16" s="1022"/>
      <c r="BO16" s="1022"/>
      <c r="BP16" s="1022"/>
      <c r="BQ16" s="1022"/>
      <c r="BR16" s="1022"/>
      <c r="BS16" s="1022"/>
      <c r="BT16" s="1022"/>
      <c r="BU16" s="1022"/>
      <c r="BV16" s="1022"/>
      <c r="BW16" s="1022"/>
      <c r="BX16" s="1022"/>
      <c r="BY16" s="1022"/>
      <c r="BZ16" s="1022"/>
      <c r="CA16" s="1022"/>
      <c r="CB16" s="1022"/>
      <c r="CC16" s="1022"/>
      <c r="CD16" s="1022"/>
      <c r="CE16" s="1022"/>
      <c r="CF16" s="1022"/>
      <c r="CG16" s="1022"/>
      <c r="CH16" s="1022"/>
      <c r="CI16" s="1022"/>
      <c r="CJ16" s="1022"/>
      <c r="CK16" s="1022"/>
      <c r="CL16" s="1022"/>
      <c r="CM16" s="1022"/>
      <c r="CN16" s="1022"/>
      <c r="CO16" s="1022"/>
      <c r="CP16" s="1022"/>
      <c r="CQ16" s="1022"/>
      <c r="CR16" s="1022"/>
      <c r="CS16" s="1022"/>
      <c r="CT16" s="1022"/>
      <c r="CU16" s="1022"/>
      <c r="CV16" s="1022"/>
      <c r="CW16" s="1022"/>
      <c r="CX16" s="1022"/>
      <c r="CY16" s="1022"/>
      <c r="CZ16" s="1022"/>
      <c r="DA16" s="1022"/>
      <c r="DB16" s="1022"/>
      <c r="DC16" s="1022"/>
      <c r="DD16" s="1022"/>
      <c r="DE16" s="1022"/>
      <c r="DF16" s="1022"/>
      <c r="DG16" s="1022"/>
      <c r="DH16" s="1022"/>
      <c r="DI16" s="1022"/>
      <c r="DJ16" s="1022"/>
      <c r="DK16" s="1022"/>
      <c r="DL16" s="1022"/>
      <c r="DM16" s="1022"/>
      <c r="DN16" s="1022"/>
      <c r="DO16" s="1022"/>
      <c r="DP16" s="1022"/>
      <c r="DQ16" s="1022"/>
      <c r="DR16" s="1022"/>
      <c r="DS16" s="1022"/>
      <c r="DT16" s="1022"/>
      <c r="DU16" s="1022"/>
      <c r="DV16" s="1022"/>
      <c r="DW16" s="1022"/>
      <c r="DX16" s="1022"/>
      <c r="DY16" s="1022"/>
      <c r="DZ16" s="1022"/>
      <c r="EA16" s="1022"/>
      <c r="EB16" s="1022"/>
      <c r="EC16" s="1022"/>
      <c r="ED16" s="1022"/>
      <c r="EE16" s="1022"/>
      <c r="EF16" s="1022"/>
      <c r="EG16" s="1022"/>
      <c r="EH16" s="1022"/>
      <c r="EI16" s="1022"/>
      <c r="EJ16" s="1022"/>
      <c r="EK16" s="1022"/>
      <c r="EL16" s="1022"/>
      <c r="EM16" s="1022"/>
      <c r="EN16" s="1022"/>
      <c r="EO16" s="1022"/>
      <c r="EP16" s="1022"/>
      <c r="EQ16" s="1022"/>
      <c r="ER16" s="1022"/>
      <c r="ES16" s="1022"/>
      <c r="ET16" s="1022"/>
      <c r="EU16" s="1022"/>
      <c r="EV16" s="1022"/>
      <c r="EW16" s="1022"/>
      <c r="EX16" s="1022"/>
      <c r="EY16" s="1022"/>
      <c r="EZ16" s="1022"/>
      <c r="FA16" s="1022"/>
      <c r="FB16" s="1022"/>
      <c r="FC16" s="1022"/>
      <c r="FD16" s="1022"/>
      <c r="FE16" s="1022"/>
      <c r="FF16" s="1022"/>
      <c r="FG16" s="1022"/>
      <c r="FH16" s="1022"/>
      <c r="FI16" s="1022"/>
      <c r="FJ16" s="1022"/>
      <c r="FK16" s="1022"/>
      <c r="FL16" s="1022"/>
      <c r="FM16" s="1022"/>
      <c r="FN16" s="1022"/>
      <c r="FO16" s="1022"/>
      <c r="FP16" s="1022"/>
      <c r="FQ16" s="1022"/>
      <c r="FR16" s="1022"/>
      <c r="FS16" s="1022"/>
      <c r="FT16" s="1022"/>
      <c r="FU16" s="1022"/>
      <c r="FV16" s="1022"/>
      <c r="FW16" s="1022"/>
      <c r="FX16" s="1022"/>
      <c r="FY16" s="1022"/>
      <c r="FZ16" s="1022"/>
      <c r="GA16" s="1022"/>
      <c r="GB16" s="1022"/>
      <c r="GC16" s="1022"/>
      <c r="GD16" s="1022"/>
      <c r="GE16" s="1022"/>
      <c r="GF16" s="1022"/>
      <c r="GG16" s="1022"/>
      <c r="GH16" s="1022"/>
      <c r="GI16" s="1022"/>
      <c r="GJ16" s="1022"/>
      <c r="GK16" s="1022"/>
      <c r="GL16" s="1022"/>
      <c r="GM16" s="1022"/>
      <c r="GN16" s="1022"/>
      <c r="GO16" s="1022"/>
      <c r="GP16" s="1022"/>
      <c r="GQ16" s="1022"/>
      <c r="GR16" s="1022"/>
      <c r="GS16" s="1022"/>
      <c r="GT16" s="1022"/>
      <c r="GU16" s="1022"/>
      <c r="GV16" s="1022"/>
      <c r="GW16" s="1022"/>
      <c r="GX16" s="1022"/>
      <c r="GY16" s="1022"/>
      <c r="GZ16" s="1022"/>
      <c r="HA16" s="1022"/>
      <c r="HB16" s="1022"/>
      <c r="HC16" s="1022"/>
      <c r="HD16" s="1022"/>
      <c r="HE16" s="1022"/>
      <c r="HF16" s="1022"/>
      <c r="HG16" s="1022"/>
      <c r="HH16" s="1022"/>
      <c r="HI16" s="1022"/>
      <c r="HJ16" s="1022"/>
      <c r="HK16" s="1022"/>
      <c r="HL16" s="1022"/>
      <c r="HM16" s="1022"/>
      <c r="HN16" s="1022"/>
      <c r="HO16" s="1022"/>
      <c r="HP16" s="1022"/>
      <c r="HQ16" s="1022"/>
      <c r="HR16" s="1022"/>
      <c r="HS16" s="1022"/>
      <c r="HT16" s="1022"/>
      <c r="HU16" s="1022"/>
      <c r="HV16" s="1022"/>
      <c r="HW16" s="1022"/>
      <c r="HX16" s="1022"/>
      <c r="HY16" s="1022"/>
      <c r="HZ16" s="1022"/>
      <c r="IA16" s="1022"/>
      <c r="IB16" s="1022"/>
      <c r="IC16" s="1022"/>
      <c r="ID16" s="1022"/>
      <c r="IE16" s="1022"/>
    </row>
    <row r="17" spans="1:239" s="17" customFormat="1" ht="100.5" customHeight="1" thickBot="1">
      <c r="A17" s="2403"/>
      <c r="B17" s="2404"/>
      <c r="C17" s="867" t="s">
        <v>123</v>
      </c>
      <c r="D17" s="867" t="s">
        <v>124</v>
      </c>
      <c r="E17" s="869" t="s">
        <v>599</v>
      </c>
      <c r="F17" s="2405" t="s">
        <v>577</v>
      </c>
      <c r="G17" s="2406"/>
      <c r="H17" s="867" t="s">
        <v>131</v>
      </c>
      <c r="I17" s="867" t="s">
        <v>125</v>
      </c>
      <c r="J17" s="867" t="s">
        <v>599</v>
      </c>
      <c r="K17" s="1010" t="s">
        <v>577</v>
      </c>
      <c r="L17" s="1032"/>
      <c r="M17" s="1022"/>
      <c r="N17" s="2403"/>
      <c r="O17" s="2404"/>
      <c r="P17" s="867" t="s">
        <v>123</v>
      </c>
      <c r="Q17" s="867" t="s">
        <v>124</v>
      </c>
      <c r="R17" s="869" t="s">
        <v>599</v>
      </c>
      <c r="S17" s="2405" t="s">
        <v>577</v>
      </c>
      <c r="T17" s="2406"/>
      <c r="U17" s="867" t="s">
        <v>131</v>
      </c>
      <c r="V17" s="867" t="s">
        <v>125</v>
      </c>
      <c r="W17" s="867" t="s">
        <v>599</v>
      </c>
      <c r="X17" s="1079" t="s">
        <v>577</v>
      </c>
      <c r="Y17" s="1022"/>
      <c r="Z17" s="1022"/>
      <c r="AA17" s="1022"/>
      <c r="AB17" s="1022"/>
      <c r="AC17" s="1022"/>
      <c r="AD17" s="1022"/>
      <c r="AE17" s="1022"/>
      <c r="AF17" s="1022"/>
      <c r="AG17" s="1022"/>
      <c r="AH17" s="1022"/>
      <c r="AI17" s="1022"/>
      <c r="AJ17" s="1022"/>
      <c r="AK17" s="1022"/>
      <c r="AL17" s="1022"/>
      <c r="AM17" s="1022"/>
      <c r="AN17" s="1022"/>
      <c r="AO17" s="1022"/>
      <c r="AP17" s="1022"/>
      <c r="AQ17" s="1022"/>
      <c r="AR17" s="1022"/>
      <c r="AS17" s="1022"/>
      <c r="AT17" s="1022"/>
      <c r="AU17" s="1022"/>
      <c r="AV17" s="1022"/>
      <c r="AW17" s="1022"/>
      <c r="AX17" s="1022"/>
      <c r="AY17" s="1022"/>
      <c r="AZ17" s="1022"/>
      <c r="BA17" s="1022"/>
      <c r="BB17" s="1022"/>
      <c r="BC17" s="1022"/>
      <c r="BD17" s="1022"/>
      <c r="BE17" s="1022"/>
      <c r="BF17" s="1022"/>
      <c r="BG17" s="1022"/>
      <c r="BH17" s="1022"/>
      <c r="BI17" s="1022"/>
      <c r="BJ17" s="1022"/>
      <c r="BK17" s="1022"/>
      <c r="BL17" s="1022"/>
      <c r="BM17" s="1022"/>
      <c r="BN17" s="1022"/>
      <c r="BO17" s="1022"/>
      <c r="BP17" s="1022"/>
      <c r="BQ17" s="1022"/>
      <c r="BR17" s="1022"/>
      <c r="BS17" s="1022"/>
      <c r="BT17" s="1022"/>
      <c r="BU17" s="1022"/>
      <c r="BV17" s="1022"/>
      <c r="BW17" s="1022"/>
      <c r="BX17" s="1022"/>
      <c r="BY17" s="1022"/>
      <c r="BZ17" s="1022"/>
      <c r="CA17" s="1022"/>
      <c r="CB17" s="1022"/>
      <c r="CC17" s="1022"/>
      <c r="CD17" s="1022"/>
      <c r="CE17" s="1022"/>
      <c r="CF17" s="1022"/>
      <c r="CG17" s="1022"/>
      <c r="CH17" s="1022"/>
      <c r="CI17" s="1022"/>
      <c r="CJ17" s="1022"/>
      <c r="CK17" s="1022"/>
      <c r="CL17" s="1022"/>
      <c r="CM17" s="1022"/>
      <c r="CN17" s="1022"/>
      <c r="CO17" s="1022"/>
      <c r="CP17" s="1022"/>
      <c r="CQ17" s="1022"/>
      <c r="CR17" s="1022"/>
      <c r="CS17" s="1022"/>
      <c r="CT17" s="1022"/>
      <c r="CU17" s="1022"/>
      <c r="CV17" s="1022"/>
      <c r="CW17" s="1022"/>
      <c r="CX17" s="1022"/>
      <c r="CY17" s="1022"/>
      <c r="CZ17" s="1022"/>
      <c r="DA17" s="1022"/>
      <c r="DB17" s="1022"/>
      <c r="DC17" s="1022"/>
      <c r="DD17" s="1022"/>
      <c r="DE17" s="1022"/>
      <c r="DF17" s="1022"/>
      <c r="DG17" s="1022"/>
      <c r="DH17" s="1022"/>
      <c r="DI17" s="1022"/>
      <c r="DJ17" s="1022"/>
      <c r="DK17" s="1022"/>
      <c r="DL17" s="1022"/>
      <c r="DM17" s="1022"/>
      <c r="DN17" s="1022"/>
      <c r="DO17" s="1022"/>
      <c r="DP17" s="1022"/>
      <c r="DQ17" s="1022"/>
      <c r="DR17" s="1022"/>
      <c r="DS17" s="1022"/>
      <c r="DT17" s="1022"/>
      <c r="DU17" s="1022"/>
      <c r="DV17" s="1022"/>
      <c r="DW17" s="1022"/>
      <c r="DX17" s="1022"/>
      <c r="DY17" s="1022"/>
      <c r="DZ17" s="1022"/>
      <c r="EA17" s="1022"/>
      <c r="EB17" s="1022"/>
      <c r="EC17" s="1022"/>
      <c r="ED17" s="1022"/>
      <c r="EE17" s="1022"/>
      <c r="EF17" s="1022"/>
      <c r="EG17" s="1022"/>
      <c r="EH17" s="1022"/>
      <c r="EI17" s="1022"/>
      <c r="EJ17" s="1022"/>
      <c r="EK17" s="1022"/>
      <c r="EL17" s="1022"/>
      <c r="EM17" s="1022"/>
      <c r="EN17" s="1022"/>
      <c r="EO17" s="1022"/>
      <c r="EP17" s="1022"/>
      <c r="EQ17" s="1022"/>
      <c r="ER17" s="1022"/>
      <c r="ES17" s="1022"/>
      <c r="ET17" s="1022"/>
      <c r="EU17" s="1022"/>
      <c r="EV17" s="1022"/>
      <c r="EW17" s="1022"/>
      <c r="EX17" s="1022"/>
      <c r="EY17" s="1022"/>
      <c r="EZ17" s="1022"/>
      <c r="FA17" s="1022"/>
      <c r="FB17" s="1022"/>
      <c r="FC17" s="1022"/>
      <c r="FD17" s="1022"/>
      <c r="FE17" s="1022"/>
      <c r="FF17" s="1022"/>
      <c r="FG17" s="1022"/>
      <c r="FH17" s="1022"/>
      <c r="FI17" s="1022"/>
      <c r="FJ17" s="1022"/>
      <c r="FK17" s="1022"/>
      <c r="FL17" s="1022"/>
      <c r="FM17" s="1022"/>
      <c r="FN17" s="1022"/>
      <c r="FO17" s="1022"/>
      <c r="FP17" s="1022"/>
      <c r="FQ17" s="1022"/>
      <c r="FR17" s="1022"/>
      <c r="FS17" s="1022"/>
      <c r="FT17" s="1022"/>
      <c r="FU17" s="1022"/>
      <c r="FV17" s="1022"/>
      <c r="FW17" s="1022"/>
      <c r="FX17" s="1022"/>
      <c r="FY17" s="1022"/>
      <c r="FZ17" s="1022"/>
      <c r="GA17" s="1022"/>
      <c r="GB17" s="1022"/>
      <c r="GC17" s="1022"/>
      <c r="GD17" s="1022"/>
      <c r="GE17" s="1022"/>
      <c r="GF17" s="1022"/>
      <c r="GG17" s="1022"/>
      <c r="GH17" s="1022"/>
      <c r="GI17" s="1022"/>
      <c r="GJ17" s="1022"/>
      <c r="GK17" s="1022"/>
      <c r="GL17" s="1022"/>
      <c r="GM17" s="1022"/>
      <c r="GN17" s="1022"/>
      <c r="GO17" s="1022"/>
      <c r="GP17" s="1022"/>
      <c r="GQ17" s="1022"/>
      <c r="GR17" s="1022"/>
      <c r="GS17" s="1022"/>
      <c r="GT17" s="1022"/>
      <c r="GU17" s="1022"/>
      <c r="GV17" s="1022"/>
      <c r="GW17" s="1022"/>
      <c r="GX17" s="1022"/>
      <c r="GY17" s="1022"/>
      <c r="GZ17" s="1022"/>
      <c r="HA17" s="1022"/>
      <c r="HB17" s="1022"/>
      <c r="HC17" s="1022"/>
      <c r="HD17" s="1022"/>
      <c r="HE17" s="1022"/>
      <c r="HF17" s="1022"/>
      <c r="HG17" s="1022"/>
      <c r="HH17" s="1022"/>
      <c r="HI17" s="1022"/>
      <c r="HJ17" s="1022"/>
      <c r="HK17" s="1022"/>
      <c r="HL17" s="1022"/>
      <c r="HM17" s="1022"/>
      <c r="HN17" s="1022"/>
      <c r="HO17" s="1022"/>
      <c r="HP17" s="1022"/>
      <c r="HQ17" s="1022"/>
      <c r="HR17" s="1022"/>
      <c r="HS17" s="1022"/>
      <c r="HT17" s="1022"/>
      <c r="HU17" s="1022"/>
      <c r="HV17" s="1022"/>
      <c r="HW17" s="1022"/>
      <c r="HX17" s="1022"/>
      <c r="HY17" s="1022"/>
      <c r="HZ17" s="1022"/>
      <c r="IA17" s="1022"/>
      <c r="IB17" s="1022"/>
      <c r="IC17" s="1022"/>
      <c r="ID17" s="1022"/>
      <c r="IE17" s="1022"/>
    </row>
    <row r="18" spans="1:239" s="17" customFormat="1" ht="37.5" customHeight="1">
      <c r="A18" s="2394" t="s">
        <v>129</v>
      </c>
      <c r="B18" s="2424"/>
      <c r="C18" s="1516">
        <f>C19+C20</f>
        <v>0</v>
      </c>
      <c r="D18" s="1516">
        <f>D19+D20</f>
        <v>0</v>
      </c>
      <c r="E18" s="1516">
        <f>IF(C18="",IF(D18="","",C18-D18),C18-D18)</f>
        <v>0</v>
      </c>
      <c r="F18" s="2396"/>
      <c r="G18" s="2396"/>
      <c r="H18" s="1516">
        <f>H19+H20</f>
        <v>339919</v>
      </c>
      <c r="I18" s="1516">
        <f>I19+I20</f>
        <v>177480.46</v>
      </c>
      <c r="J18" s="1516">
        <f>IF(H18="",IF(I18="","",H18-I18),H18-I18)</f>
        <v>162438.54</v>
      </c>
      <c r="K18" s="1087"/>
      <c r="L18" s="1032"/>
      <c r="M18" s="1022"/>
      <c r="N18" s="2394" t="s">
        <v>129</v>
      </c>
      <c r="O18" s="2395"/>
      <c r="P18" s="1090">
        <f>P19+P20</f>
        <v>0</v>
      </c>
      <c r="Q18" s="868">
        <f>Q19+Q20</f>
        <v>0</v>
      </c>
      <c r="R18" s="868">
        <f>IF(P18="",IF(Q18="","",P18-Q18),P18-Q18)</f>
        <v>0</v>
      </c>
      <c r="S18" s="2396"/>
      <c r="T18" s="2396"/>
      <c r="U18" s="868">
        <f>U19+U20</f>
        <v>317474</v>
      </c>
      <c r="V18" s="868">
        <f>V19+V20</f>
        <v>152846.30000000002</v>
      </c>
      <c r="W18" s="868">
        <f>IF(U18="",IF(V18="","",U18-V18),U18-V18)</f>
        <v>164627.69999999998</v>
      </c>
      <c r="X18" s="1087"/>
      <c r="Y18" s="1022"/>
      <c r="Z18" s="1022"/>
      <c r="AA18" s="1022"/>
      <c r="AB18" s="1022"/>
      <c r="AC18" s="1022"/>
      <c r="AD18" s="1022"/>
      <c r="AE18" s="1022"/>
      <c r="AF18" s="1022"/>
      <c r="AG18" s="1022"/>
      <c r="AH18" s="1022"/>
      <c r="AI18" s="1022"/>
      <c r="AJ18" s="1022"/>
      <c r="AK18" s="1022"/>
      <c r="AL18" s="1022"/>
      <c r="AM18" s="1022"/>
      <c r="AN18" s="1022"/>
      <c r="AO18" s="1022"/>
      <c r="AP18" s="1022"/>
      <c r="AQ18" s="1022"/>
      <c r="AR18" s="1022"/>
      <c r="AS18" s="1022"/>
      <c r="AT18" s="1022"/>
      <c r="AU18" s="1022"/>
      <c r="AV18" s="1022"/>
      <c r="AW18" s="1022"/>
      <c r="AX18" s="1022"/>
      <c r="AY18" s="1022"/>
      <c r="AZ18" s="1022"/>
      <c r="BA18" s="1022"/>
      <c r="BB18" s="1022"/>
      <c r="BC18" s="1022"/>
      <c r="BD18" s="1022"/>
      <c r="BE18" s="1022"/>
      <c r="BF18" s="1022"/>
      <c r="BG18" s="1022"/>
      <c r="BH18" s="1022"/>
      <c r="BI18" s="1022"/>
      <c r="BJ18" s="1022"/>
      <c r="BK18" s="1022"/>
      <c r="BL18" s="1022"/>
      <c r="BM18" s="1022"/>
      <c r="BN18" s="1022"/>
      <c r="BO18" s="1022"/>
      <c r="BP18" s="1022"/>
      <c r="BQ18" s="1022"/>
      <c r="BR18" s="1022"/>
      <c r="BS18" s="1022"/>
      <c r="BT18" s="1022"/>
      <c r="BU18" s="1022"/>
      <c r="BV18" s="1022"/>
      <c r="BW18" s="1022"/>
      <c r="BX18" s="1022"/>
      <c r="BY18" s="1022"/>
      <c r="BZ18" s="1022"/>
      <c r="CA18" s="1022"/>
      <c r="CB18" s="1022"/>
      <c r="CC18" s="1022"/>
      <c r="CD18" s="1022"/>
      <c r="CE18" s="1022"/>
      <c r="CF18" s="1022"/>
      <c r="CG18" s="1022"/>
      <c r="CH18" s="1022"/>
      <c r="CI18" s="1022"/>
      <c r="CJ18" s="1022"/>
      <c r="CK18" s="1022"/>
      <c r="CL18" s="1022"/>
      <c r="CM18" s="1022"/>
      <c r="CN18" s="1022"/>
      <c r="CO18" s="1022"/>
      <c r="CP18" s="1022"/>
      <c r="CQ18" s="1022"/>
      <c r="CR18" s="1022"/>
      <c r="CS18" s="1022"/>
      <c r="CT18" s="1022"/>
      <c r="CU18" s="1022"/>
      <c r="CV18" s="1022"/>
      <c r="CW18" s="1022"/>
      <c r="CX18" s="1022"/>
      <c r="CY18" s="1022"/>
      <c r="CZ18" s="1022"/>
      <c r="DA18" s="1022"/>
      <c r="DB18" s="1022"/>
      <c r="DC18" s="1022"/>
      <c r="DD18" s="1022"/>
      <c r="DE18" s="1022"/>
      <c r="DF18" s="1022"/>
      <c r="DG18" s="1022"/>
      <c r="DH18" s="1022"/>
      <c r="DI18" s="1022"/>
      <c r="DJ18" s="1022"/>
      <c r="DK18" s="1022"/>
      <c r="DL18" s="1022"/>
      <c r="DM18" s="1022"/>
      <c r="DN18" s="1022"/>
      <c r="DO18" s="1022"/>
      <c r="DP18" s="1022"/>
      <c r="DQ18" s="1022"/>
      <c r="DR18" s="1022"/>
      <c r="DS18" s="1022"/>
      <c r="DT18" s="1022"/>
      <c r="DU18" s="1022"/>
      <c r="DV18" s="1022"/>
      <c r="DW18" s="1022"/>
      <c r="DX18" s="1022"/>
      <c r="DY18" s="1022"/>
      <c r="DZ18" s="1022"/>
      <c r="EA18" s="1022"/>
      <c r="EB18" s="1022"/>
      <c r="EC18" s="1022"/>
      <c r="ED18" s="1022"/>
      <c r="EE18" s="1022"/>
      <c r="EF18" s="1022"/>
      <c r="EG18" s="1022"/>
      <c r="EH18" s="1022"/>
      <c r="EI18" s="1022"/>
      <c r="EJ18" s="1022"/>
      <c r="EK18" s="1022"/>
      <c r="EL18" s="1022"/>
      <c r="EM18" s="1022"/>
      <c r="EN18" s="1022"/>
      <c r="EO18" s="1022"/>
      <c r="EP18" s="1022"/>
      <c r="EQ18" s="1022"/>
      <c r="ER18" s="1022"/>
      <c r="ES18" s="1022"/>
      <c r="ET18" s="1022"/>
      <c r="EU18" s="1022"/>
      <c r="EV18" s="1022"/>
      <c r="EW18" s="1022"/>
      <c r="EX18" s="1022"/>
      <c r="EY18" s="1022"/>
      <c r="EZ18" s="1022"/>
      <c r="FA18" s="1022"/>
      <c r="FB18" s="1022"/>
      <c r="FC18" s="1022"/>
      <c r="FD18" s="1022"/>
      <c r="FE18" s="1022"/>
      <c r="FF18" s="1022"/>
      <c r="FG18" s="1022"/>
      <c r="FH18" s="1022"/>
      <c r="FI18" s="1022"/>
      <c r="FJ18" s="1022"/>
      <c r="FK18" s="1022"/>
      <c r="FL18" s="1022"/>
      <c r="FM18" s="1022"/>
      <c r="FN18" s="1022"/>
      <c r="FO18" s="1022"/>
      <c r="FP18" s="1022"/>
      <c r="FQ18" s="1022"/>
      <c r="FR18" s="1022"/>
      <c r="FS18" s="1022"/>
      <c r="FT18" s="1022"/>
      <c r="FU18" s="1022"/>
      <c r="FV18" s="1022"/>
      <c r="FW18" s="1022"/>
      <c r="FX18" s="1022"/>
      <c r="FY18" s="1022"/>
      <c r="FZ18" s="1022"/>
      <c r="GA18" s="1022"/>
      <c r="GB18" s="1022"/>
      <c r="GC18" s="1022"/>
      <c r="GD18" s="1022"/>
      <c r="GE18" s="1022"/>
      <c r="GF18" s="1022"/>
      <c r="GG18" s="1022"/>
      <c r="GH18" s="1022"/>
      <c r="GI18" s="1022"/>
      <c r="GJ18" s="1022"/>
      <c r="GK18" s="1022"/>
      <c r="GL18" s="1022"/>
      <c r="GM18" s="1022"/>
      <c r="GN18" s="1022"/>
      <c r="GO18" s="1022"/>
      <c r="GP18" s="1022"/>
      <c r="GQ18" s="1022"/>
      <c r="GR18" s="1022"/>
      <c r="GS18" s="1022"/>
      <c r="GT18" s="1022"/>
      <c r="GU18" s="1022"/>
      <c r="GV18" s="1022"/>
      <c r="GW18" s="1022"/>
      <c r="GX18" s="1022"/>
      <c r="GY18" s="1022"/>
      <c r="GZ18" s="1022"/>
      <c r="HA18" s="1022"/>
      <c r="HB18" s="1022"/>
      <c r="HC18" s="1022"/>
      <c r="HD18" s="1022"/>
      <c r="HE18" s="1022"/>
      <c r="HF18" s="1022"/>
      <c r="HG18" s="1022"/>
      <c r="HH18" s="1022"/>
      <c r="HI18" s="1022"/>
      <c r="HJ18" s="1022"/>
      <c r="HK18" s="1022"/>
      <c r="HL18" s="1022"/>
      <c r="HM18" s="1022"/>
      <c r="HN18" s="1022"/>
      <c r="HO18" s="1022"/>
      <c r="HP18" s="1022"/>
      <c r="HQ18" s="1022"/>
      <c r="HR18" s="1022"/>
      <c r="HS18" s="1022"/>
      <c r="HT18" s="1022"/>
      <c r="HU18" s="1022"/>
      <c r="HV18" s="1022"/>
      <c r="HW18" s="1022"/>
      <c r="HX18" s="1022"/>
      <c r="HY18" s="1022"/>
      <c r="HZ18" s="1022"/>
      <c r="IA18" s="1022"/>
      <c r="IB18" s="1022"/>
      <c r="IC18" s="1022"/>
      <c r="ID18" s="1022"/>
      <c r="IE18" s="1022"/>
    </row>
    <row r="19" spans="1:239" s="17" customFormat="1" ht="42" customHeight="1">
      <c r="A19" s="2426" t="s">
        <v>392</v>
      </c>
      <c r="B19" s="2427"/>
      <c r="C19" s="1517">
        <f>P19</f>
        <v>0</v>
      </c>
      <c r="D19" s="1517">
        <f>Q19</f>
        <v>0</v>
      </c>
      <c r="E19" s="1522">
        <f>IF(C19="",IF(D19="",0,C19-D19),C19-D19)</f>
        <v>0</v>
      </c>
      <c r="F19" s="2428" t="s">
        <v>1062</v>
      </c>
      <c r="G19" s="2429"/>
      <c r="H19" s="1517">
        <f>89919+C19</f>
        <v>89919</v>
      </c>
      <c r="I19" s="1517">
        <v>30567</v>
      </c>
      <c r="J19" s="1522">
        <f>IF(H19="",IF(I19="",0,H19-I19),H19-I19)</f>
        <v>59352</v>
      </c>
      <c r="K19" s="1586" t="s">
        <v>1138</v>
      </c>
      <c r="L19" s="1032"/>
      <c r="M19" s="1022"/>
      <c r="N19" s="1933" t="s">
        <v>392</v>
      </c>
      <c r="O19" s="2437"/>
      <c r="P19" s="1091">
        <f>'PR_Total PR Cash Outflow_3A'!C18</f>
        <v>0</v>
      </c>
      <c r="Q19" s="1089">
        <f>'PR_Total PR Cash Outflow_3A'!D18</f>
        <v>0</v>
      </c>
      <c r="R19" s="478">
        <f>IF(P19="",IF(Q19="",0,P19-Q19),P19-Q19)</f>
        <v>0</v>
      </c>
      <c r="S19" s="2233"/>
      <c r="T19" s="2393"/>
      <c r="U19" s="1089">
        <f>'PR_Total PR Cash Outflow_3A'!H18</f>
        <v>66179</v>
      </c>
      <c r="V19" s="1089">
        <f>'PR_Total PR Cash Outflow_3A'!I18</f>
        <v>32352.7</v>
      </c>
      <c r="W19" s="478">
        <f>IF(U19="",IF(V19="",0,U19-V19),U19-V19)</f>
        <v>33826.300000000003</v>
      </c>
      <c r="X19" s="1088"/>
      <c r="Y19" s="1022"/>
      <c r="Z19" s="1022"/>
      <c r="AA19" s="1022"/>
      <c r="AB19" s="1022"/>
      <c r="AC19" s="1022"/>
      <c r="AD19" s="1022"/>
      <c r="AE19" s="1022"/>
      <c r="AF19" s="1022"/>
      <c r="AG19" s="1022"/>
      <c r="AH19" s="1022"/>
      <c r="AI19" s="1022"/>
      <c r="AJ19" s="1022"/>
      <c r="AK19" s="1022"/>
      <c r="AL19" s="1022"/>
      <c r="AM19" s="1022"/>
      <c r="AN19" s="1022"/>
      <c r="AO19" s="1022"/>
      <c r="AP19" s="1022"/>
      <c r="AQ19" s="1022"/>
      <c r="AR19" s="1022"/>
      <c r="AS19" s="1022"/>
      <c r="AT19" s="1022"/>
      <c r="AU19" s="1022"/>
      <c r="AV19" s="1022"/>
      <c r="AW19" s="1022"/>
      <c r="AX19" s="1022"/>
      <c r="AY19" s="1022"/>
      <c r="AZ19" s="1022"/>
      <c r="BA19" s="1022"/>
      <c r="BB19" s="1022"/>
      <c r="BC19" s="1022"/>
      <c r="BD19" s="1022"/>
      <c r="BE19" s="1022"/>
      <c r="BF19" s="1022"/>
      <c r="BG19" s="1022"/>
      <c r="BH19" s="1022"/>
      <c r="BI19" s="1022"/>
      <c r="BJ19" s="1022"/>
      <c r="BK19" s="1022"/>
      <c r="BL19" s="1022"/>
      <c r="BM19" s="1022"/>
      <c r="BN19" s="1022"/>
      <c r="BO19" s="1022"/>
      <c r="BP19" s="1022"/>
      <c r="BQ19" s="1022"/>
      <c r="BR19" s="1022"/>
      <c r="BS19" s="1022"/>
      <c r="BT19" s="1022"/>
      <c r="BU19" s="1022"/>
      <c r="BV19" s="1022"/>
      <c r="BW19" s="1022"/>
      <c r="BX19" s="1022"/>
      <c r="BY19" s="1022"/>
      <c r="BZ19" s="1022"/>
      <c r="CA19" s="1022"/>
      <c r="CB19" s="1022"/>
      <c r="CC19" s="1022"/>
      <c r="CD19" s="1022"/>
      <c r="CE19" s="1022"/>
      <c r="CF19" s="1022"/>
      <c r="CG19" s="1022"/>
      <c r="CH19" s="1022"/>
      <c r="CI19" s="1022"/>
      <c r="CJ19" s="1022"/>
      <c r="CK19" s="1022"/>
      <c r="CL19" s="1022"/>
      <c r="CM19" s="1022"/>
      <c r="CN19" s="1022"/>
      <c r="CO19" s="1022"/>
      <c r="CP19" s="1022"/>
      <c r="CQ19" s="1022"/>
      <c r="CR19" s="1022"/>
      <c r="CS19" s="1022"/>
      <c r="CT19" s="1022"/>
      <c r="CU19" s="1022"/>
      <c r="CV19" s="1022"/>
      <c r="CW19" s="1022"/>
      <c r="CX19" s="1022"/>
      <c r="CY19" s="1022"/>
      <c r="CZ19" s="1022"/>
      <c r="DA19" s="1022"/>
      <c r="DB19" s="1022"/>
      <c r="DC19" s="1022"/>
      <c r="DD19" s="1022"/>
      <c r="DE19" s="1022"/>
      <c r="DF19" s="1022"/>
      <c r="DG19" s="1022"/>
      <c r="DH19" s="1022"/>
      <c r="DI19" s="1022"/>
      <c r="DJ19" s="1022"/>
      <c r="DK19" s="1022"/>
      <c r="DL19" s="1022"/>
      <c r="DM19" s="1022"/>
      <c r="DN19" s="1022"/>
      <c r="DO19" s="1022"/>
      <c r="DP19" s="1022"/>
      <c r="DQ19" s="1022"/>
      <c r="DR19" s="1022"/>
      <c r="DS19" s="1022"/>
      <c r="DT19" s="1022"/>
      <c r="DU19" s="1022"/>
      <c r="DV19" s="1022"/>
      <c r="DW19" s="1022"/>
      <c r="DX19" s="1022"/>
      <c r="DY19" s="1022"/>
      <c r="DZ19" s="1022"/>
      <c r="EA19" s="1022"/>
      <c r="EB19" s="1022"/>
      <c r="EC19" s="1022"/>
      <c r="ED19" s="1022"/>
      <c r="EE19" s="1022"/>
      <c r="EF19" s="1022"/>
      <c r="EG19" s="1022"/>
      <c r="EH19" s="1022"/>
      <c r="EI19" s="1022"/>
      <c r="EJ19" s="1022"/>
      <c r="EK19" s="1022"/>
      <c r="EL19" s="1022"/>
      <c r="EM19" s="1022"/>
      <c r="EN19" s="1022"/>
      <c r="EO19" s="1022"/>
      <c r="EP19" s="1022"/>
      <c r="EQ19" s="1022"/>
      <c r="ER19" s="1022"/>
      <c r="ES19" s="1022"/>
      <c r="ET19" s="1022"/>
      <c r="EU19" s="1022"/>
      <c r="EV19" s="1022"/>
      <c r="EW19" s="1022"/>
      <c r="EX19" s="1022"/>
      <c r="EY19" s="1022"/>
      <c r="EZ19" s="1022"/>
      <c r="FA19" s="1022"/>
      <c r="FB19" s="1022"/>
      <c r="FC19" s="1022"/>
      <c r="FD19" s="1022"/>
      <c r="FE19" s="1022"/>
      <c r="FF19" s="1022"/>
      <c r="FG19" s="1022"/>
      <c r="FH19" s="1022"/>
      <c r="FI19" s="1022"/>
      <c r="FJ19" s="1022"/>
      <c r="FK19" s="1022"/>
      <c r="FL19" s="1022"/>
      <c r="FM19" s="1022"/>
      <c r="FN19" s="1022"/>
      <c r="FO19" s="1022"/>
      <c r="FP19" s="1022"/>
      <c r="FQ19" s="1022"/>
      <c r="FR19" s="1022"/>
      <c r="FS19" s="1022"/>
      <c r="FT19" s="1022"/>
      <c r="FU19" s="1022"/>
      <c r="FV19" s="1022"/>
      <c r="FW19" s="1022"/>
      <c r="FX19" s="1022"/>
      <c r="FY19" s="1022"/>
      <c r="FZ19" s="1022"/>
      <c r="GA19" s="1022"/>
      <c r="GB19" s="1022"/>
      <c r="GC19" s="1022"/>
      <c r="GD19" s="1022"/>
      <c r="GE19" s="1022"/>
      <c r="GF19" s="1022"/>
      <c r="GG19" s="1022"/>
      <c r="GH19" s="1022"/>
      <c r="GI19" s="1022"/>
      <c r="GJ19" s="1022"/>
      <c r="GK19" s="1022"/>
      <c r="GL19" s="1022"/>
      <c r="GM19" s="1022"/>
      <c r="GN19" s="1022"/>
      <c r="GO19" s="1022"/>
      <c r="GP19" s="1022"/>
      <c r="GQ19" s="1022"/>
      <c r="GR19" s="1022"/>
      <c r="GS19" s="1022"/>
      <c r="GT19" s="1022"/>
      <c r="GU19" s="1022"/>
      <c r="GV19" s="1022"/>
      <c r="GW19" s="1022"/>
      <c r="GX19" s="1022"/>
      <c r="GY19" s="1022"/>
      <c r="GZ19" s="1022"/>
      <c r="HA19" s="1022"/>
      <c r="HB19" s="1022"/>
      <c r="HC19" s="1022"/>
      <c r="HD19" s="1022"/>
      <c r="HE19" s="1022"/>
      <c r="HF19" s="1022"/>
      <c r="HG19" s="1022"/>
      <c r="HH19" s="1022"/>
      <c r="HI19" s="1022"/>
      <c r="HJ19" s="1022"/>
      <c r="HK19" s="1022"/>
      <c r="HL19" s="1022"/>
      <c r="HM19" s="1022"/>
      <c r="HN19" s="1022"/>
      <c r="HO19" s="1022"/>
      <c r="HP19" s="1022"/>
      <c r="HQ19" s="1022"/>
      <c r="HR19" s="1022"/>
      <c r="HS19" s="1022"/>
      <c r="HT19" s="1022"/>
      <c r="HU19" s="1022"/>
      <c r="HV19" s="1022"/>
      <c r="HW19" s="1022"/>
      <c r="HX19" s="1022"/>
      <c r="HY19" s="1022"/>
      <c r="HZ19" s="1022"/>
      <c r="IA19" s="1022"/>
      <c r="IB19" s="1022"/>
      <c r="IC19" s="1022"/>
      <c r="ID19" s="1022"/>
      <c r="IE19" s="1022"/>
    </row>
    <row r="20" spans="1:239" s="17" customFormat="1" ht="57.75" customHeight="1" thickBot="1">
      <c r="A20" s="2401" t="s">
        <v>393</v>
      </c>
      <c r="B20" s="2425"/>
      <c r="C20" s="1519">
        <f>P20</f>
        <v>0</v>
      </c>
      <c r="D20" s="1519">
        <f>Q20</f>
        <v>0</v>
      </c>
      <c r="E20" s="1520">
        <f>IF(C20="",IF(D20="",0,C20-D20),C20-D20)</f>
        <v>0</v>
      </c>
      <c r="F20" s="2430" t="s">
        <v>1063</v>
      </c>
      <c r="G20" s="2431"/>
      <c r="H20" s="1519">
        <f>250000+C20</f>
        <v>250000</v>
      </c>
      <c r="I20" s="1519">
        <v>146913.46</v>
      </c>
      <c r="J20" s="1520">
        <f>IF(H20="",IF(I20="",0,H20-I20),H20-I20)</f>
        <v>103086.54000000001</v>
      </c>
      <c r="K20" s="1587" t="s">
        <v>1139</v>
      </c>
      <c r="L20" s="1032"/>
      <c r="M20" s="1022"/>
      <c r="N20" s="2401" t="s">
        <v>393</v>
      </c>
      <c r="O20" s="2402"/>
      <c r="P20" s="1092">
        <f>'PR_Total PR Cash Outflow_3A'!C19</f>
        <v>0</v>
      </c>
      <c r="Q20" s="749">
        <f>'PR_Total PR Cash Outflow_3A'!D19</f>
        <v>0</v>
      </c>
      <c r="R20" s="750">
        <f>IF(P20="",IF(Q20="",0,P20-Q20),P20-Q20)</f>
        <v>0</v>
      </c>
      <c r="S20" s="2391"/>
      <c r="T20" s="2392"/>
      <c r="U20" s="749">
        <f>'PR_Total PR Cash Outflow_3A'!H19</f>
        <v>251295</v>
      </c>
      <c r="V20" s="749">
        <f>'PR_Total PR Cash Outflow_3A'!I19</f>
        <v>120493.6</v>
      </c>
      <c r="W20" s="750">
        <f>IF(U20="",IF(V20="",0,U20-V20),U20-V20)</f>
        <v>130801.4</v>
      </c>
      <c r="X20" s="1084"/>
      <c r="Y20" s="1022"/>
      <c r="Z20" s="1022"/>
      <c r="AA20" s="1022"/>
      <c r="AB20" s="1022"/>
      <c r="AC20" s="1022"/>
      <c r="AD20" s="1022"/>
      <c r="AE20" s="1022"/>
      <c r="AF20" s="1022"/>
      <c r="AG20" s="1022"/>
      <c r="AH20" s="1022"/>
      <c r="AI20" s="1022"/>
      <c r="AJ20" s="1022"/>
      <c r="AK20" s="1022"/>
      <c r="AL20" s="1022"/>
      <c r="AM20" s="1022"/>
      <c r="AN20" s="1022"/>
      <c r="AO20" s="1022"/>
      <c r="AP20" s="1022"/>
      <c r="AQ20" s="1022"/>
      <c r="AR20" s="1022"/>
      <c r="AS20" s="1022"/>
      <c r="AT20" s="1022"/>
      <c r="AU20" s="1022"/>
      <c r="AV20" s="1022"/>
      <c r="AW20" s="1022"/>
      <c r="AX20" s="1022"/>
      <c r="AY20" s="1022"/>
      <c r="AZ20" s="1022"/>
      <c r="BA20" s="1022"/>
      <c r="BB20" s="1022"/>
      <c r="BC20" s="1022"/>
      <c r="BD20" s="1022"/>
      <c r="BE20" s="1022"/>
      <c r="BF20" s="1022"/>
      <c r="BG20" s="1022"/>
      <c r="BH20" s="1022"/>
      <c r="BI20" s="1022"/>
      <c r="BJ20" s="1022"/>
      <c r="BK20" s="1022"/>
      <c r="BL20" s="1022"/>
      <c r="BM20" s="1022"/>
      <c r="BN20" s="1022"/>
      <c r="BO20" s="1022"/>
      <c r="BP20" s="1022"/>
      <c r="BQ20" s="1022"/>
      <c r="BR20" s="1022"/>
      <c r="BS20" s="1022"/>
      <c r="BT20" s="1022"/>
      <c r="BU20" s="1022"/>
      <c r="BV20" s="1022"/>
      <c r="BW20" s="1022"/>
      <c r="BX20" s="1022"/>
      <c r="BY20" s="1022"/>
      <c r="BZ20" s="1022"/>
      <c r="CA20" s="1022"/>
      <c r="CB20" s="1022"/>
      <c r="CC20" s="1022"/>
      <c r="CD20" s="1022"/>
      <c r="CE20" s="1022"/>
      <c r="CF20" s="1022"/>
      <c r="CG20" s="1022"/>
      <c r="CH20" s="1022"/>
      <c r="CI20" s="1022"/>
      <c r="CJ20" s="1022"/>
      <c r="CK20" s="1022"/>
      <c r="CL20" s="1022"/>
      <c r="CM20" s="1022"/>
      <c r="CN20" s="1022"/>
      <c r="CO20" s="1022"/>
      <c r="CP20" s="1022"/>
      <c r="CQ20" s="1022"/>
      <c r="CR20" s="1022"/>
      <c r="CS20" s="1022"/>
      <c r="CT20" s="1022"/>
      <c r="CU20" s="1022"/>
      <c r="CV20" s="1022"/>
      <c r="CW20" s="1022"/>
      <c r="CX20" s="1022"/>
      <c r="CY20" s="1022"/>
      <c r="CZ20" s="1022"/>
      <c r="DA20" s="1022"/>
      <c r="DB20" s="1022"/>
      <c r="DC20" s="1022"/>
      <c r="DD20" s="1022"/>
      <c r="DE20" s="1022"/>
      <c r="DF20" s="1022"/>
      <c r="DG20" s="1022"/>
      <c r="DH20" s="1022"/>
      <c r="DI20" s="1022"/>
      <c r="DJ20" s="1022"/>
      <c r="DK20" s="1022"/>
      <c r="DL20" s="1022"/>
      <c r="DM20" s="1022"/>
      <c r="DN20" s="1022"/>
      <c r="DO20" s="1022"/>
      <c r="DP20" s="1022"/>
      <c r="DQ20" s="1022"/>
      <c r="DR20" s="1022"/>
      <c r="DS20" s="1022"/>
      <c r="DT20" s="1022"/>
      <c r="DU20" s="1022"/>
      <c r="DV20" s="1022"/>
      <c r="DW20" s="1022"/>
      <c r="DX20" s="1022"/>
      <c r="DY20" s="1022"/>
      <c r="DZ20" s="1022"/>
      <c r="EA20" s="1022"/>
      <c r="EB20" s="1022"/>
      <c r="EC20" s="1022"/>
      <c r="ED20" s="1022"/>
      <c r="EE20" s="1022"/>
      <c r="EF20" s="1022"/>
      <c r="EG20" s="1022"/>
      <c r="EH20" s="1022"/>
      <c r="EI20" s="1022"/>
      <c r="EJ20" s="1022"/>
      <c r="EK20" s="1022"/>
      <c r="EL20" s="1022"/>
      <c r="EM20" s="1022"/>
      <c r="EN20" s="1022"/>
      <c r="EO20" s="1022"/>
      <c r="EP20" s="1022"/>
      <c r="EQ20" s="1022"/>
      <c r="ER20" s="1022"/>
      <c r="ES20" s="1022"/>
      <c r="ET20" s="1022"/>
      <c r="EU20" s="1022"/>
      <c r="EV20" s="1022"/>
      <c r="EW20" s="1022"/>
      <c r="EX20" s="1022"/>
      <c r="EY20" s="1022"/>
      <c r="EZ20" s="1022"/>
      <c r="FA20" s="1022"/>
      <c r="FB20" s="1022"/>
      <c r="FC20" s="1022"/>
      <c r="FD20" s="1022"/>
      <c r="FE20" s="1022"/>
      <c r="FF20" s="1022"/>
      <c r="FG20" s="1022"/>
      <c r="FH20" s="1022"/>
      <c r="FI20" s="1022"/>
      <c r="FJ20" s="1022"/>
      <c r="FK20" s="1022"/>
      <c r="FL20" s="1022"/>
      <c r="FM20" s="1022"/>
      <c r="FN20" s="1022"/>
      <c r="FO20" s="1022"/>
      <c r="FP20" s="1022"/>
      <c r="FQ20" s="1022"/>
      <c r="FR20" s="1022"/>
      <c r="FS20" s="1022"/>
      <c r="FT20" s="1022"/>
      <c r="FU20" s="1022"/>
      <c r="FV20" s="1022"/>
      <c r="FW20" s="1022"/>
      <c r="FX20" s="1022"/>
      <c r="FY20" s="1022"/>
      <c r="FZ20" s="1022"/>
      <c r="GA20" s="1022"/>
      <c r="GB20" s="1022"/>
      <c r="GC20" s="1022"/>
      <c r="GD20" s="1022"/>
      <c r="GE20" s="1022"/>
      <c r="GF20" s="1022"/>
      <c r="GG20" s="1022"/>
      <c r="GH20" s="1022"/>
      <c r="GI20" s="1022"/>
      <c r="GJ20" s="1022"/>
      <c r="GK20" s="1022"/>
      <c r="GL20" s="1022"/>
      <c r="GM20" s="1022"/>
      <c r="GN20" s="1022"/>
      <c r="GO20" s="1022"/>
      <c r="GP20" s="1022"/>
      <c r="GQ20" s="1022"/>
      <c r="GR20" s="1022"/>
      <c r="GS20" s="1022"/>
      <c r="GT20" s="1022"/>
      <c r="GU20" s="1022"/>
      <c r="GV20" s="1022"/>
      <c r="GW20" s="1022"/>
      <c r="GX20" s="1022"/>
      <c r="GY20" s="1022"/>
      <c r="GZ20" s="1022"/>
      <c r="HA20" s="1022"/>
      <c r="HB20" s="1022"/>
      <c r="HC20" s="1022"/>
      <c r="HD20" s="1022"/>
      <c r="HE20" s="1022"/>
      <c r="HF20" s="1022"/>
      <c r="HG20" s="1022"/>
      <c r="HH20" s="1022"/>
      <c r="HI20" s="1022"/>
      <c r="HJ20" s="1022"/>
      <c r="HK20" s="1022"/>
      <c r="HL20" s="1022"/>
      <c r="HM20" s="1022"/>
      <c r="HN20" s="1022"/>
      <c r="HO20" s="1022"/>
      <c r="HP20" s="1022"/>
      <c r="HQ20" s="1022"/>
      <c r="HR20" s="1022"/>
      <c r="HS20" s="1022"/>
      <c r="HT20" s="1022"/>
      <c r="HU20" s="1022"/>
      <c r="HV20" s="1022"/>
      <c r="HW20" s="1022"/>
      <c r="HX20" s="1022"/>
      <c r="HY20" s="1022"/>
      <c r="HZ20" s="1022"/>
      <c r="IA20" s="1022"/>
      <c r="IB20" s="1022"/>
      <c r="IC20" s="1022"/>
      <c r="ID20" s="1022"/>
      <c r="IE20" s="1022"/>
    </row>
    <row r="21" spans="1:239" s="17" customFormat="1" ht="9.75" customHeight="1">
      <c r="A21" s="224"/>
      <c r="B21" s="225"/>
      <c r="C21" s="223"/>
      <c r="D21" s="222"/>
      <c r="E21" s="222"/>
      <c r="F21" s="222"/>
      <c r="G21" s="222"/>
      <c r="H21" s="222"/>
      <c r="I21" s="222"/>
      <c r="J21" s="222"/>
      <c r="K21" s="1027"/>
      <c r="L21" s="103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1022"/>
      <c r="AN21" s="1022"/>
      <c r="AO21" s="1022"/>
      <c r="AP21" s="1022"/>
      <c r="AQ21" s="1022"/>
      <c r="AR21" s="1022"/>
      <c r="AS21" s="1022"/>
      <c r="AT21" s="1022"/>
      <c r="AU21" s="1022"/>
      <c r="AV21" s="1022"/>
      <c r="AW21" s="1022"/>
      <c r="AX21" s="1022"/>
      <c r="AY21" s="1022"/>
      <c r="AZ21" s="1022"/>
      <c r="BA21" s="1022"/>
      <c r="BB21" s="1022"/>
      <c r="BC21" s="1022"/>
      <c r="BD21" s="1022"/>
      <c r="BE21" s="1022"/>
      <c r="BF21" s="1022"/>
      <c r="BG21" s="1022"/>
      <c r="BH21" s="1022"/>
      <c r="BI21" s="1022"/>
      <c r="BJ21" s="1022"/>
      <c r="BK21" s="1022"/>
      <c r="BL21" s="1022"/>
      <c r="BM21" s="1022"/>
      <c r="BN21" s="1022"/>
      <c r="BO21" s="1022"/>
      <c r="BP21" s="1022"/>
      <c r="BQ21" s="1022"/>
      <c r="BR21" s="1022"/>
      <c r="BS21" s="1022"/>
      <c r="BT21" s="1022"/>
      <c r="BU21" s="1022"/>
      <c r="BV21" s="1022"/>
      <c r="BW21" s="1022"/>
      <c r="BX21" s="1022"/>
      <c r="BY21" s="1022"/>
      <c r="BZ21" s="1022"/>
      <c r="CA21" s="1022"/>
      <c r="CB21" s="1022"/>
      <c r="CC21" s="1022"/>
      <c r="CD21" s="1022"/>
      <c r="CE21" s="1022"/>
      <c r="CF21" s="1022"/>
      <c r="CG21" s="1022"/>
      <c r="CH21" s="1022"/>
      <c r="CI21" s="1022"/>
      <c r="CJ21" s="1022"/>
      <c r="CK21" s="1022"/>
      <c r="CL21" s="1022"/>
      <c r="CM21" s="1022"/>
      <c r="CN21" s="1022"/>
      <c r="CO21" s="1022"/>
      <c r="CP21" s="1022"/>
      <c r="CQ21" s="1022"/>
      <c r="CR21" s="1022"/>
      <c r="CS21" s="1022"/>
      <c r="CT21" s="1022"/>
      <c r="CU21" s="1022"/>
      <c r="CV21" s="1022"/>
      <c r="CW21" s="1022"/>
      <c r="CX21" s="1022"/>
      <c r="CY21" s="1022"/>
      <c r="CZ21" s="1022"/>
      <c r="DA21" s="1022"/>
      <c r="DB21" s="1022"/>
      <c r="DC21" s="1022"/>
      <c r="DD21" s="1022"/>
      <c r="DE21" s="1022"/>
      <c r="DF21" s="1022"/>
      <c r="DG21" s="1022"/>
      <c r="DH21" s="1022"/>
      <c r="DI21" s="1022"/>
      <c r="DJ21" s="1022"/>
      <c r="DK21" s="1022"/>
      <c r="DL21" s="1022"/>
      <c r="DM21" s="1022"/>
      <c r="DN21" s="1022"/>
      <c r="DO21" s="1022"/>
      <c r="DP21" s="1022"/>
      <c r="DQ21" s="1022"/>
      <c r="DR21" s="1022"/>
      <c r="DS21" s="1022"/>
      <c r="DT21" s="1022"/>
      <c r="DU21" s="1022"/>
      <c r="DV21" s="1022"/>
      <c r="DW21" s="1022"/>
      <c r="DX21" s="1022"/>
      <c r="DY21" s="1022"/>
      <c r="DZ21" s="1022"/>
      <c r="EA21" s="1022"/>
      <c r="EB21" s="1022"/>
      <c r="EC21" s="1022"/>
      <c r="ED21" s="1022"/>
      <c r="EE21" s="1022"/>
      <c r="EF21" s="1022"/>
      <c r="EG21" s="1022"/>
      <c r="EH21" s="1022"/>
      <c r="EI21" s="1022"/>
      <c r="EJ21" s="1022"/>
      <c r="EK21" s="1022"/>
      <c r="EL21" s="1022"/>
      <c r="EM21" s="1022"/>
      <c r="EN21" s="1022"/>
      <c r="EO21" s="1022"/>
      <c r="EP21" s="1022"/>
      <c r="EQ21" s="1022"/>
      <c r="ER21" s="1022"/>
      <c r="ES21" s="1022"/>
      <c r="ET21" s="1022"/>
      <c r="EU21" s="1022"/>
      <c r="EV21" s="1022"/>
      <c r="EW21" s="1022"/>
      <c r="EX21" s="1022"/>
      <c r="EY21" s="1022"/>
      <c r="EZ21" s="1022"/>
      <c r="FA21" s="1022"/>
      <c r="FB21" s="1022"/>
      <c r="FC21" s="1022"/>
      <c r="FD21" s="1022"/>
      <c r="FE21" s="1022"/>
      <c r="FF21" s="1022"/>
      <c r="FG21" s="1022"/>
      <c r="FH21" s="1022"/>
      <c r="FI21" s="1022"/>
      <c r="FJ21" s="1022"/>
      <c r="FK21" s="1022"/>
      <c r="FL21" s="1022"/>
      <c r="FM21" s="1022"/>
      <c r="FN21" s="1022"/>
      <c r="FO21" s="1022"/>
      <c r="FP21" s="1022"/>
      <c r="FQ21" s="1022"/>
      <c r="FR21" s="1022"/>
      <c r="FS21" s="1022"/>
      <c r="FT21" s="1022"/>
      <c r="FU21" s="1022"/>
      <c r="FV21" s="1022"/>
      <c r="FW21" s="1022"/>
      <c r="FX21" s="1022"/>
      <c r="FY21" s="1022"/>
      <c r="FZ21" s="1022"/>
      <c r="GA21" s="1022"/>
      <c r="GB21" s="1022"/>
      <c r="GC21" s="1022"/>
      <c r="GD21" s="1022"/>
      <c r="GE21" s="1022"/>
      <c r="GF21" s="1022"/>
      <c r="GG21" s="1022"/>
      <c r="GH21" s="1022"/>
      <c r="GI21" s="1022"/>
      <c r="GJ21" s="1022"/>
      <c r="GK21" s="1022"/>
      <c r="GL21" s="1022"/>
      <c r="GM21" s="1022"/>
      <c r="GN21" s="1022"/>
      <c r="GO21" s="1022"/>
      <c r="GP21" s="1022"/>
      <c r="GQ21" s="1022"/>
      <c r="GR21" s="1022"/>
      <c r="GS21" s="1022"/>
      <c r="GT21" s="1022"/>
      <c r="GU21" s="1022"/>
      <c r="GV21" s="1022"/>
      <c r="GW21" s="1022"/>
      <c r="GX21" s="1022"/>
      <c r="GY21" s="1022"/>
      <c r="GZ21" s="1022"/>
      <c r="HA21" s="1022"/>
      <c r="HB21" s="1022"/>
      <c r="HC21" s="1022"/>
      <c r="HD21" s="1022"/>
      <c r="HE21" s="1022"/>
      <c r="HF21" s="1022"/>
      <c r="HG21" s="1022"/>
      <c r="HH21" s="1022"/>
      <c r="HI21" s="1022"/>
      <c r="HJ21" s="1022"/>
      <c r="HK21" s="1022"/>
      <c r="HL21" s="1022"/>
      <c r="HM21" s="1022"/>
      <c r="HN21" s="1022"/>
      <c r="HO21" s="1022"/>
      <c r="HP21" s="1022"/>
      <c r="HQ21" s="1022"/>
      <c r="HR21" s="1022"/>
      <c r="HS21" s="1022"/>
      <c r="HT21" s="1022"/>
      <c r="HU21" s="1022"/>
      <c r="HV21" s="1022"/>
      <c r="HW21" s="1022"/>
      <c r="HX21" s="1022"/>
      <c r="HY21" s="1022"/>
      <c r="HZ21" s="1022"/>
      <c r="IA21" s="1022"/>
      <c r="IB21" s="1022"/>
      <c r="IC21" s="1022"/>
      <c r="ID21" s="1022"/>
      <c r="IE21" s="1022"/>
    </row>
    <row r="22" spans="1:239" s="74" customFormat="1" ht="20.25" customHeight="1">
      <c r="A22" s="339" t="s">
        <v>412</v>
      </c>
      <c r="B22" s="476"/>
      <c r="C22" s="476"/>
      <c r="D22" s="477"/>
      <c r="E22" s="363"/>
      <c r="F22" s="363"/>
      <c r="G22" s="363"/>
      <c r="H22" s="363"/>
      <c r="I22" s="363"/>
      <c r="J22" s="363"/>
      <c r="K22" s="1028"/>
      <c r="L22" s="361"/>
      <c r="M22" s="88"/>
      <c r="N22" s="88"/>
      <c r="O22" s="88"/>
      <c r="P22" s="88"/>
      <c r="Q22" s="88"/>
      <c r="R22" s="88"/>
      <c r="S22" s="88"/>
      <c r="T22" s="88"/>
      <c r="U22" s="88"/>
      <c r="V22" s="88"/>
      <c r="W22" s="88"/>
      <c r="X22" s="88"/>
      <c r="Y22" s="88"/>
      <c r="Z22" s="88"/>
      <c r="AA22" s="88"/>
      <c r="AB22" s="88"/>
      <c r="AC22" s="88"/>
      <c r="AD22" s="1022"/>
      <c r="AE22" s="1022"/>
      <c r="AF22" s="1022"/>
      <c r="AG22" s="1022"/>
      <c r="AH22" s="1022"/>
      <c r="AI22" s="1022"/>
      <c r="AJ22" s="1022"/>
      <c r="AK22" s="1022"/>
      <c r="AL22" s="1022"/>
      <c r="AM22" s="1022"/>
      <c r="AN22" s="1022"/>
      <c r="AO22" s="1022"/>
      <c r="AP22" s="1022"/>
      <c r="AQ22" s="1022"/>
      <c r="AR22" s="1022"/>
      <c r="AS22" s="1022"/>
      <c r="AT22" s="1022"/>
      <c r="AU22" s="1022"/>
      <c r="AV22" s="1022"/>
      <c r="AW22" s="1022"/>
      <c r="AX22" s="1022"/>
      <c r="AY22" s="1022"/>
      <c r="AZ22" s="1022"/>
      <c r="BA22" s="1022"/>
      <c r="BB22" s="1022"/>
      <c r="BC22" s="1022"/>
      <c r="BD22" s="1022"/>
      <c r="BE22" s="1022"/>
      <c r="BF22" s="1022"/>
      <c r="BG22" s="1022"/>
      <c r="BH22" s="1022"/>
      <c r="BI22" s="1022"/>
      <c r="BJ22" s="1022"/>
      <c r="BK22" s="1022"/>
      <c r="BL22" s="1022"/>
      <c r="BM22" s="1022"/>
      <c r="BN22" s="1022"/>
      <c r="BO22" s="1022"/>
      <c r="BP22" s="1022"/>
      <c r="BQ22" s="1022"/>
      <c r="BR22" s="1022"/>
      <c r="BS22" s="1022"/>
      <c r="BT22" s="1022"/>
      <c r="BU22" s="1022"/>
      <c r="BV22" s="1022"/>
      <c r="BW22" s="1022"/>
      <c r="BX22" s="1022"/>
      <c r="BY22" s="1022"/>
      <c r="BZ22" s="1022"/>
      <c r="CA22" s="1022"/>
      <c r="CB22" s="1022"/>
      <c r="CC22" s="1022"/>
      <c r="CD22" s="1022"/>
      <c r="CE22" s="1022"/>
      <c r="CF22" s="1022"/>
      <c r="CG22" s="1022"/>
      <c r="CH22" s="1022"/>
      <c r="CI22" s="1022"/>
      <c r="CJ22" s="1022"/>
      <c r="CK22" s="1022"/>
      <c r="CL22" s="1022"/>
      <c r="CM22" s="1022"/>
      <c r="CN22" s="1022"/>
      <c r="CO22" s="1022"/>
      <c r="CP22" s="1022"/>
      <c r="CQ22" s="1022"/>
      <c r="CR22" s="1022"/>
      <c r="CS22" s="1022"/>
      <c r="CT22" s="1022"/>
      <c r="CU22" s="1022"/>
      <c r="CV22" s="1022"/>
      <c r="CW22" s="1022"/>
      <c r="CX22" s="1022"/>
      <c r="CY22" s="1022"/>
      <c r="CZ22" s="1022"/>
      <c r="DA22" s="1022"/>
      <c r="DB22" s="1022"/>
      <c r="DC22" s="1022"/>
      <c r="DD22" s="1022"/>
      <c r="DE22" s="1022"/>
      <c r="DF22" s="1022"/>
      <c r="DG22" s="1022"/>
      <c r="DH22" s="1022"/>
      <c r="DI22" s="1022"/>
      <c r="DJ22" s="1022"/>
      <c r="DK22" s="1022"/>
      <c r="DL22" s="1022"/>
      <c r="DM22" s="1022"/>
      <c r="DN22" s="1022"/>
      <c r="DO22" s="1022"/>
      <c r="DP22" s="1022"/>
      <c r="DQ22" s="1022"/>
      <c r="DR22" s="1022"/>
      <c r="DS22" s="1022"/>
      <c r="DT22" s="1022"/>
      <c r="DU22" s="1022"/>
      <c r="DV22" s="1022"/>
      <c r="DW22" s="1022"/>
      <c r="DX22" s="1022"/>
      <c r="DY22" s="1022"/>
      <c r="DZ22" s="1022"/>
      <c r="EA22" s="1022"/>
      <c r="EB22" s="1022"/>
      <c r="EC22" s="1022"/>
      <c r="ED22" s="1022"/>
      <c r="EE22" s="1022"/>
      <c r="EF22" s="1022"/>
      <c r="EG22" s="1022"/>
      <c r="EH22" s="1022"/>
      <c r="EI22" s="1022"/>
      <c r="EJ22" s="1022"/>
      <c r="EK22" s="1022"/>
      <c r="EL22" s="1022"/>
      <c r="EM22" s="1022"/>
      <c r="EN22" s="1022"/>
      <c r="EO22" s="1022"/>
      <c r="EP22" s="1022"/>
      <c r="EQ22" s="1022"/>
      <c r="ER22" s="1022"/>
      <c r="ES22" s="1022"/>
      <c r="ET22" s="1022"/>
      <c r="EU22" s="1022"/>
      <c r="EV22" s="1022"/>
      <c r="EW22" s="1022"/>
      <c r="EX22" s="1022"/>
      <c r="EY22" s="1022"/>
      <c r="EZ22" s="1022"/>
      <c r="FA22" s="1022"/>
      <c r="FB22" s="1022"/>
      <c r="FC22" s="1022"/>
      <c r="FD22" s="1022"/>
      <c r="FE22" s="1022"/>
      <c r="FF22" s="1022"/>
      <c r="FG22" s="1022"/>
      <c r="FH22" s="1022"/>
      <c r="FI22" s="1022"/>
      <c r="FJ22" s="1022"/>
      <c r="FK22" s="1022"/>
      <c r="FL22" s="1022"/>
      <c r="FM22" s="1022"/>
      <c r="FN22" s="1022"/>
      <c r="FO22" s="1022"/>
      <c r="FP22" s="1022"/>
      <c r="FQ22" s="1022"/>
      <c r="FR22" s="1022"/>
      <c r="FS22" s="1022"/>
      <c r="FT22" s="1022"/>
      <c r="FU22" s="1022"/>
      <c r="FV22" s="1022"/>
      <c r="FW22" s="1022"/>
      <c r="FX22" s="1022"/>
      <c r="FY22" s="1022"/>
      <c r="FZ22" s="1022"/>
      <c r="GA22" s="1022"/>
      <c r="GB22" s="1022"/>
      <c r="GC22" s="1022"/>
      <c r="GD22" s="1022"/>
      <c r="GE22" s="1022"/>
      <c r="GF22" s="1022"/>
      <c r="GG22" s="1022"/>
      <c r="GH22" s="1022"/>
      <c r="GI22" s="1022"/>
      <c r="GJ22" s="1022"/>
      <c r="GK22" s="1022"/>
      <c r="GL22" s="1022"/>
      <c r="GM22" s="1022"/>
      <c r="GN22" s="1022"/>
      <c r="GO22" s="1022"/>
      <c r="GP22" s="1022"/>
      <c r="GQ22" s="1022"/>
      <c r="GR22" s="1022"/>
      <c r="GS22" s="1022"/>
      <c r="GT22" s="1022"/>
      <c r="GU22" s="1022"/>
      <c r="GV22" s="1022"/>
      <c r="GW22" s="1022"/>
      <c r="GX22" s="1022"/>
      <c r="GY22" s="1022"/>
      <c r="GZ22" s="1022"/>
      <c r="HA22" s="1022"/>
      <c r="HB22" s="1022"/>
      <c r="HC22" s="1022"/>
      <c r="HD22" s="1022"/>
      <c r="HE22" s="1022"/>
      <c r="HF22" s="1022"/>
      <c r="HG22" s="1022"/>
      <c r="HH22" s="1022"/>
      <c r="HI22" s="1022"/>
      <c r="HJ22" s="1022"/>
      <c r="HK22" s="1022"/>
      <c r="HL22" s="1022"/>
      <c r="HM22" s="1022"/>
      <c r="HN22" s="1022"/>
      <c r="HO22" s="1022"/>
      <c r="HP22" s="1022"/>
      <c r="HQ22" s="1022"/>
      <c r="HR22" s="1022"/>
      <c r="HS22" s="1022"/>
      <c r="HT22" s="1022"/>
      <c r="HU22" s="1022"/>
      <c r="HV22" s="1022"/>
      <c r="HW22" s="1022"/>
      <c r="HX22" s="1022"/>
      <c r="HY22" s="1022"/>
      <c r="HZ22" s="1022"/>
      <c r="IA22" s="1022"/>
      <c r="IB22" s="1022"/>
      <c r="IC22" s="1022"/>
      <c r="ID22" s="1022"/>
      <c r="IE22" s="1022"/>
    </row>
    <row r="23" spans="1:239" s="74" customFormat="1" ht="20.25" customHeight="1" thickBot="1">
      <c r="A23" s="359"/>
      <c r="B23" s="360"/>
      <c r="C23" s="361"/>
      <c r="D23" s="362"/>
      <c r="E23" s="363"/>
      <c r="F23" s="363"/>
      <c r="G23" s="363"/>
      <c r="H23" s="363"/>
      <c r="I23" s="363"/>
      <c r="J23" s="363"/>
      <c r="K23" s="1029"/>
      <c r="L23" s="361"/>
      <c r="M23" s="88"/>
      <c r="N23" s="88"/>
      <c r="O23" s="88"/>
      <c r="P23" s="88"/>
      <c r="Q23" s="88"/>
      <c r="R23" s="88"/>
      <c r="S23" s="88"/>
      <c r="T23" s="88"/>
      <c r="U23" s="88"/>
      <c r="V23" s="88"/>
      <c r="W23" s="88"/>
      <c r="X23" s="88"/>
      <c r="Y23" s="88"/>
      <c r="Z23" s="88"/>
      <c r="AA23" s="88"/>
      <c r="AB23" s="88"/>
      <c r="AC23" s="88"/>
      <c r="AD23" s="1022"/>
      <c r="AE23" s="1022"/>
      <c r="AF23" s="1022"/>
      <c r="AG23" s="1022"/>
      <c r="AH23" s="1022"/>
      <c r="AI23" s="1022"/>
      <c r="AJ23" s="1022"/>
      <c r="AK23" s="1022"/>
      <c r="AL23" s="1022"/>
      <c r="AM23" s="1022"/>
      <c r="AN23" s="1022"/>
      <c r="AO23" s="1022"/>
      <c r="AP23" s="1022"/>
      <c r="AQ23" s="1022"/>
      <c r="AR23" s="1022"/>
      <c r="AS23" s="1022"/>
      <c r="AT23" s="1022"/>
      <c r="AU23" s="1022"/>
      <c r="AV23" s="1022"/>
      <c r="AW23" s="1022"/>
      <c r="AX23" s="1022"/>
      <c r="AY23" s="1022"/>
      <c r="AZ23" s="1022"/>
      <c r="BA23" s="1022"/>
      <c r="BB23" s="1022"/>
      <c r="BC23" s="1022"/>
      <c r="BD23" s="1022"/>
      <c r="BE23" s="1022"/>
      <c r="BF23" s="1022"/>
      <c r="BG23" s="1022"/>
      <c r="BH23" s="1022"/>
      <c r="BI23" s="1022"/>
      <c r="BJ23" s="1022"/>
      <c r="BK23" s="1022"/>
      <c r="BL23" s="1022"/>
      <c r="BM23" s="1022"/>
      <c r="BN23" s="1022"/>
      <c r="BO23" s="1022"/>
      <c r="BP23" s="1022"/>
      <c r="BQ23" s="1022"/>
      <c r="BR23" s="1022"/>
      <c r="BS23" s="1022"/>
      <c r="BT23" s="1022"/>
      <c r="BU23" s="1022"/>
      <c r="BV23" s="1022"/>
      <c r="BW23" s="1022"/>
      <c r="BX23" s="1022"/>
      <c r="BY23" s="1022"/>
      <c r="BZ23" s="1022"/>
      <c r="CA23" s="1022"/>
      <c r="CB23" s="1022"/>
      <c r="CC23" s="1022"/>
      <c r="CD23" s="1022"/>
      <c r="CE23" s="1022"/>
      <c r="CF23" s="1022"/>
      <c r="CG23" s="1022"/>
      <c r="CH23" s="1022"/>
      <c r="CI23" s="1022"/>
      <c r="CJ23" s="1022"/>
      <c r="CK23" s="1022"/>
      <c r="CL23" s="1022"/>
      <c r="CM23" s="1022"/>
      <c r="CN23" s="1022"/>
      <c r="CO23" s="1022"/>
      <c r="CP23" s="1022"/>
      <c r="CQ23" s="1022"/>
      <c r="CR23" s="1022"/>
      <c r="CS23" s="1022"/>
      <c r="CT23" s="1022"/>
      <c r="CU23" s="1022"/>
      <c r="CV23" s="1022"/>
      <c r="CW23" s="1022"/>
      <c r="CX23" s="1022"/>
      <c r="CY23" s="1022"/>
      <c r="CZ23" s="1022"/>
      <c r="DA23" s="1022"/>
      <c r="DB23" s="1022"/>
      <c r="DC23" s="1022"/>
      <c r="DD23" s="1022"/>
      <c r="DE23" s="1022"/>
      <c r="DF23" s="1022"/>
      <c r="DG23" s="1022"/>
      <c r="DH23" s="1022"/>
      <c r="DI23" s="1022"/>
      <c r="DJ23" s="1022"/>
      <c r="DK23" s="1022"/>
      <c r="DL23" s="1022"/>
      <c r="DM23" s="1022"/>
      <c r="DN23" s="1022"/>
      <c r="DO23" s="1022"/>
      <c r="DP23" s="1022"/>
      <c r="DQ23" s="1022"/>
      <c r="DR23" s="1022"/>
      <c r="DS23" s="1022"/>
      <c r="DT23" s="1022"/>
      <c r="DU23" s="1022"/>
      <c r="DV23" s="1022"/>
      <c r="DW23" s="1022"/>
      <c r="DX23" s="1022"/>
      <c r="DY23" s="1022"/>
      <c r="DZ23" s="1022"/>
      <c r="EA23" s="1022"/>
      <c r="EB23" s="1022"/>
      <c r="EC23" s="1022"/>
      <c r="ED23" s="1022"/>
      <c r="EE23" s="1022"/>
      <c r="EF23" s="1022"/>
      <c r="EG23" s="1022"/>
      <c r="EH23" s="1022"/>
      <c r="EI23" s="1022"/>
      <c r="EJ23" s="1022"/>
      <c r="EK23" s="1022"/>
      <c r="EL23" s="1022"/>
      <c r="EM23" s="1022"/>
      <c r="EN23" s="1022"/>
      <c r="EO23" s="1022"/>
      <c r="EP23" s="1022"/>
      <c r="EQ23" s="1022"/>
      <c r="ER23" s="1022"/>
      <c r="ES23" s="1022"/>
      <c r="ET23" s="1022"/>
      <c r="EU23" s="1022"/>
      <c r="EV23" s="1022"/>
      <c r="EW23" s="1022"/>
      <c r="EX23" s="1022"/>
      <c r="EY23" s="1022"/>
      <c r="EZ23" s="1022"/>
      <c r="FA23" s="1022"/>
      <c r="FB23" s="1022"/>
      <c r="FC23" s="1022"/>
      <c r="FD23" s="1022"/>
      <c r="FE23" s="1022"/>
      <c r="FF23" s="1022"/>
      <c r="FG23" s="1022"/>
      <c r="FH23" s="1022"/>
      <c r="FI23" s="1022"/>
      <c r="FJ23" s="1022"/>
      <c r="FK23" s="1022"/>
      <c r="FL23" s="1022"/>
      <c r="FM23" s="1022"/>
      <c r="FN23" s="1022"/>
      <c r="FO23" s="1022"/>
      <c r="FP23" s="1022"/>
      <c r="FQ23" s="1022"/>
      <c r="FR23" s="1022"/>
      <c r="FS23" s="1022"/>
      <c r="FT23" s="1022"/>
      <c r="FU23" s="1022"/>
      <c r="FV23" s="1022"/>
      <c r="FW23" s="1022"/>
      <c r="FX23" s="1022"/>
      <c r="FY23" s="1022"/>
      <c r="FZ23" s="1022"/>
      <c r="GA23" s="1022"/>
      <c r="GB23" s="1022"/>
      <c r="GC23" s="1022"/>
      <c r="GD23" s="1022"/>
      <c r="GE23" s="1022"/>
      <c r="GF23" s="1022"/>
      <c r="GG23" s="1022"/>
      <c r="GH23" s="1022"/>
      <c r="GI23" s="1022"/>
      <c r="GJ23" s="1022"/>
      <c r="GK23" s="1022"/>
      <c r="GL23" s="1022"/>
      <c r="GM23" s="1022"/>
      <c r="GN23" s="1022"/>
      <c r="GO23" s="1022"/>
      <c r="GP23" s="1022"/>
      <c r="GQ23" s="1022"/>
      <c r="GR23" s="1022"/>
      <c r="GS23" s="1022"/>
      <c r="GT23" s="1022"/>
      <c r="GU23" s="1022"/>
      <c r="GV23" s="1022"/>
      <c r="GW23" s="1022"/>
      <c r="GX23" s="1022"/>
      <c r="GY23" s="1022"/>
      <c r="GZ23" s="1022"/>
      <c r="HA23" s="1022"/>
      <c r="HB23" s="1022"/>
      <c r="HC23" s="1022"/>
      <c r="HD23" s="1022"/>
      <c r="HE23" s="1022"/>
      <c r="HF23" s="1022"/>
      <c r="HG23" s="1022"/>
      <c r="HH23" s="1022"/>
      <c r="HI23" s="1022"/>
      <c r="HJ23" s="1022"/>
      <c r="HK23" s="1022"/>
      <c r="HL23" s="1022"/>
      <c r="HM23" s="1022"/>
      <c r="HN23" s="1022"/>
      <c r="HO23" s="1022"/>
      <c r="HP23" s="1022"/>
      <c r="HQ23" s="1022"/>
      <c r="HR23" s="1022"/>
      <c r="HS23" s="1022"/>
      <c r="HT23" s="1022"/>
      <c r="HU23" s="1022"/>
      <c r="HV23" s="1022"/>
      <c r="HW23" s="1022"/>
      <c r="HX23" s="1022"/>
      <c r="HY23" s="1022"/>
      <c r="HZ23" s="1022"/>
      <c r="IA23" s="1022"/>
      <c r="IB23" s="1022"/>
      <c r="IC23" s="1022"/>
      <c r="ID23" s="1022"/>
      <c r="IE23" s="1022"/>
    </row>
    <row r="24" spans="1:239" s="3" customFormat="1" ht="24.75" customHeight="1" thickBot="1">
      <c r="A24" s="2421" t="s">
        <v>468</v>
      </c>
      <c r="B24" s="2422"/>
      <c r="C24" s="2422"/>
      <c r="D24" s="2422"/>
      <c r="E24" s="2422"/>
      <c r="F24" s="2422"/>
      <c r="G24" s="2422"/>
      <c r="H24" s="2422"/>
      <c r="I24" s="2422"/>
      <c r="J24" s="2422"/>
      <c r="K24" s="2423"/>
      <c r="L24" s="1033"/>
      <c r="M24" s="88"/>
      <c r="N24" s="88"/>
      <c r="O24" s="88"/>
      <c r="P24" s="88"/>
      <c r="Q24" s="88"/>
      <c r="R24" s="88"/>
      <c r="S24" s="88"/>
      <c r="T24" s="88"/>
      <c r="U24" s="88"/>
      <c r="V24" s="88"/>
      <c r="W24" s="88"/>
      <c r="X24" s="88"/>
      <c r="Y24" s="88"/>
      <c r="Z24" s="88"/>
      <c r="AA24" s="88"/>
      <c r="AB24" s="88"/>
      <c r="AC24" s="88"/>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row>
    <row r="25" spans="1:239" s="3" customFormat="1" ht="53.25" customHeight="1" thickBot="1">
      <c r="A25" s="2418" t="s">
        <v>1064</v>
      </c>
      <c r="B25" s="2419"/>
      <c r="C25" s="2419"/>
      <c r="D25" s="2419"/>
      <c r="E25" s="2419"/>
      <c r="F25" s="2419"/>
      <c r="G25" s="2419"/>
      <c r="H25" s="2419"/>
      <c r="I25" s="2419"/>
      <c r="J25" s="2419"/>
      <c r="K25" s="2420"/>
      <c r="L25" s="1033"/>
      <c r="M25" s="88"/>
      <c r="N25" s="88"/>
      <c r="O25" s="88"/>
      <c r="P25" s="88"/>
      <c r="Q25" s="88"/>
      <c r="R25" s="88"/>
      <c r="S25" s="88"/>
      <c r="T25" s="88"/>
      <c r="U25" s="88"/>
      <c r="V25" s="88"/>
      <c r="W25" s="88"/>
      <c r="X25" s="88"/>
      <c r="Y25" s="88"/>
      <c r="Z25" s="88"/>
      <c r="AA25" s="88"/>
      <c r="AB25" s="88"/>
      <c r="AC25" s="88"/>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row>
    <row r="26" spans="1:239" s="1022" customFormat="1" ht="13.5" customHeight="1">
      <c r="A26" s="359"/>
      <c r="B26" s="360"/>
      <c r="C26" s="361"/>
      <c r="D26" s="361"/>
      <c r="E26" s="361"/>
      <c r="F26" s="361"/>
      <c r="G26" s="361"/>
      <c r="H26" s="361"/>
      <c r="I26" s="361"/>
      <c r="J26" s="361"/>
      <c r="K26" s="361"/>
      <c r="L26" s="361"/>
      <c r="M26" s="88"/>
      <c r="N26" s="88"/>
      <c r="O26" s="88"/>
      <c r="P26" s="88"/>
      <c r="Q26" s="88"/>
      <c r="R26" s="88"/>
      <c r="S26" s="88"/>
      <c r="T26" s="88"/>
      <c r="U26" s="88"/>
      <c r="V26" s="88"/>
      <c r="W26" s="88"/>
      <c r="X26" s="88"/>
      <c r="Y26" s="88"/>
      <c r="Z26" s="88"/>
      <c r="AA26" s="88"/>
      <c r="AB26" s="88"/>
      <c r="AC26" s="88"/>
    </row>
    <row r="27" spans="1:239" s="88" customFormat="1" ht="14.25">
      <c r="L27" s="1034"/>
    </row>
    <row r="28" spans="1:239" s="88" customFormat="1" ht="14.25">
      <c r="L28" s="1034"/>
    </row>
    <row r="29" spans="1:239" s="88" customFormat="1" ht="14.25">
      <c r="L29" s="1034"/>
    </row>
    <row r="30" spans="1:239" s="88" customFormat="1" ht="14.25">
      <c r="L30" s="1034"/>
    </row>
    <row r="31" spans="1:239" s="88" customFormat="1" ht="14.25">
      <c r="L31" s="1034"/>
    </row>
    <row r="32" spans="1:239" s="88" customFormat="1" ht="14.25">
      <c r="L32" s="1034"/>
    </row>
    <row r="33" spans="12:12" s="88" customFormat="1" ht="14.25">
      <c r="L33" s="1034"/>
    </row>
    <row r="34" spans="12:12" s="88" customFormat="1" ht="14.25">
      <c r="L34" s="1034"/>
    </row>
    <row r="35" spans="12:12" s="88" customFormat="1" ht="14.25">
      <c r="L35" s="1034"/>
    </row>
    <row r="36" spans="12:12" s="88" customFormat="1" ht="14.25">
      <c r="L36" s="1034"/>
    </row>
    <row r="37" spans="12:12" s="88" customFormat="1" ht="14.25">
      <c r="L37" s="1034"/>
    </row>
    <row r="38" spans="12:12" s="88" customFormat="1" ht="14.25">
      <c r="L38" s="1034"/>
    </row>
    <row r="39" spans="12:12" s="88" customFormat="1" ht="14.25">
      <c r="L39" s="1034"/>
    </row>
    <row r="40" spans="12:12" s="88" customFormat="1" ht="14.25">
      <c r="L40" s="1034"/>
    </row>
    <row r="41" spans="12:12" s="88" customFormat="1" ht="14.25">
      <c r="L41" s="1034"/>
    </row>
    <row r="42" spans="12:12" s="88" customFormat="1" ht="14.25">
      <c r="L42" s="1034"/>
    </row>
    <row r="43" spans="12:12" s="88" customFormat="1" ht="14.25">
      <c r="L43" s="1034"/>
    </row>
    <row r="44" spans="12:12" s="88" customFormat="1" ht="14.25">
      <c r="L44" s="1034"/>
    </row>
    <row r="45" spans="12:12" s="88" customFormat="1" ht="14.25">
      <c r="L45" s="1034"/>
    </row>
    <row r="46" spans="12:12" s="88" customFormat="1" ht="14.25">
      <c r="L46" s="1034"/>
    </row>
    <row r="47" spans="12:12" s="88" customFormat="1" ht="14.25">
      <c r="L47" s="1034"/>
    </row>
    <row r="48" spans="12:12" s="88" customFormat="1" ht="14.25">
      <c r="L48" s="1034"/>
    </row>
    <row r="49" spans="12:12" s="88" customFormat="1" ht="14.25">
      <c r="L49" s="1034"/>
    </row>
    <row r="50" spans="12:12" s="88" customFormat="1" ht="14.25">
      <c r="L50" s="1034"/>
    </row>
    <row r="51" spans="12:12" s="88" customFormat="1" ht="14.25">
      <c r="L51" s="1034"/>
    </row>
    <row r="52" spans="12:12" s="88" customFormat="1" ht="14.25">
      <c r="L52" s="1034"/>
    </row>
    <row r="53" spans="12:12" s="88" customFormat="1" ht="14.25">
      <c r="L53" s="1034"/>
    </row>
    <row r="54" spans="12:12" s="88" customFormat="1" ht="14.25">
      <c r="L54" s="1034"/>
    </row>
    <row r="55" spans="12:12" s="88" customFormat="1" ht="14.25">
      <c r="L55" s="1034"/>
    </row>
    <row r="56" spans="12:12" s="88" customFormat="1" ht="14.25">
      <c r="L56" s="1034"/>
    </row>
    <row r="57" spans="12:12" s="88" customFormat="1" ht="14.25">
      <c r="L57" s="1034"/>
    </row>
    <row r="58" spans="12:12" s="88" customFormat="1" ht="14.25">
      <c r="L58" s="1034"/>
    </row>
    <row r="59" spans="12:12" s="88" customFormat="1" ht="14.25">
      <c r="L59" s="1034"/>
    </row>
    <row r="60" spans="12:12" s="88" customFormat="1" ht="14.25">
      <c r="L60" s="1034"/>
    </row>
    <row r="61" spans="12:12" s="88" customFormat="1" ht="14.25">
      <c r="L61" s="1034"/>
    </row>
    <row r="62" spans="12:12" s="88" customFormat="1" ht="14.25">
      <c r="L62" s="1034"/>
    </row>
    <row r="63" spans="12:12" s="88" customFormat="1" ht="14.25">
      <c r="L63" s="1034"/>
    </row>
    <row r="64" spans="12:12" s="88" customFormat="1" ht="14.25">
      <c r="L64" s="1034"/>
    </row>
    <row r="65" spans="12:29" s="88" customFormat="1" ht="14.25">
      <c r="L65" s="1034"/>
    </row>
    <row r="66" spans="12:29" s="88" customFormat="1" ht="14.25">
      <c r="L66" s="1034"/>
    </row>
    <row r="67" spans="12:29" s="88" customFormat="1" ht="14.25">
      <c r="L67" s="1034"/>
    </row>
    <row r="68" spans="12:29" s="88" customFormat="1" ht="14.25">
      <c r="L68" s="1034"/>
    </row>
    <row r="69" spans="12:29" s="88" customFormat="1" ht="14.25">
      <c r="L69" s="1034"/>
    </row>
    <row r="70" spans="12:29" s="88" customFormat="1" ht="14.25">
      <c r="L70" s="1034"/>
    </row>
    <row r="71" spans="12:29" s="88" customFormat="1" ht="14.25">
      <c r="L71" s="1034"/>
    </row>
    <row r="72" spans="12:29" s="88" customFormat="1" ht="14.25">
      <c r="L72" s="1034"/>
      <c r="M72" s="69"/>
      <c r="N72" s="69"/>
      <c r="O72" s="69"/>
      <c r="P72" s="69"/>
      <c r="Q72" s="69"/>
      <c r="R72" s="69"/>
      <c r="S72" s="69"/>
      <c r="T72" s="69"/>
      <c r="U72" s="69"/>
      <c r="V72" s="69"/>
      <c r="W72" s="69"/>
      <c r="X72" s="69"/>
      <c r="Y72" s="69"/>
      <c r="Z72" s="69"/>
      <c r="AA72" s="69"/>
      <c r="AB72" s="69"/>
      <c r="AC72" s="69"/>
    </row>
    <row r="73" spans="12:29" s="88" customFormat="1" ht="14.25">
      <c r="L73" s="1034"/>
      <c r="M73" s="69"/>
      <c r="N73" s="69"/>
      <c r="O73" s="69"/>
      <c r="P73" s="69"/>
      <c r="Q73" s="69"/>
      <c r="R73" s="69"/>
      <c r="S73" s="69"/>
      <c r="T73" s="69"/>
      <c r="U73" s="69"/>
      <c r="V73" s="69"/>
      <c r="W73" s="69"/>
      <c r="X73" s="69"/>
      <c r="Y73" s="69"/>
      <c r="Z73" s="69"/>
      <c r="AA73" s="69"/>
      <c r="AB73" s="69"/>
      <c r="AC73" s="69"/>
    </row>
    <row r="74" spans="12:29" s="88" customFormat="1" ht="14.25">
      <c r="L74" s="1034"/>
      <c r="M74" s="69"/>
      <c r="N74" s="69"/>
      <c r="O74" s="69"/>
      <c r="P74" s="69"/>
      <c r="Q74" s="69"/>
      <c r="R74" s="69"/>
      <c r="S74" s="69"/>
      <c r="T74" s="69"/>
      <c r="U74" s="69"/>
      <c r="V74" s="69"/>
      <c r="W74" s="69"/>
      <c r="X74" s="69"/>
      <c r="Y74" s="69"/>
      <c r="Z74" s="69"/>
      <c r="AA74" s="69"/>
      <c r="AB74" s="69"/>
      <c r="AC74" s="69"/>
    </row>
    <row r="75" spans="12:29" s="88" customFormat="1" ht="14.25">
      <c r="L75" s="1034"/>
      <c r="M75" s="69"/>
      <c r="N75" s="69"/>
      <c r="O75" s="69"/>
      <c r="P75" s="69"/>
      <c r="Q75" s="69"/>
      <c r="R75" s="69"/>
      <c r="S75" s="69"/>
      <c r="T75" s="69"/>
      <c r="U75" s="69"/>
      <c r="V75" s="69"/>
      <c r="W75" s="69"/>
      <c r="X75" s="69"/>
      <c r="Y75" s="69"/>
      <c r="Z75" s="69"/>
      <c r="AA75" s="69"/>
      <c r="AB75" s="69"/>
      <c r="AC75" s="69"/>
    </row>
    <row r="76" spans="12:29" s="88" customFormat="1" ht="14.25">
      <c r="L76" s="1034"/>
      <c r="M76" s="69"/>
      <c r="N76" s="69"/>
      <c r="O76" s="69"/>
      <c r="P76" s="69"/>
      <c r="Q76" s="69"/>
      <c r="R76" s="69"/>
      <c r="S76" s="69"/>
      <c r="T76" s="69"/>
      <c r="U76" s="69"/>
      <c r="V76" s="69"/>
      <c r="W76" s="69"/>
      <c r="X76" s="69"/>
      <c r="Y76" s="69"/>
      <c r="Z76" s="69"/>
      <c r="AA76" s="69"/>
      <c r="AB76" s="69"/>
      <c r="AC76" s="69"/>
    </row>
  </sheetData>
  <sheetProtection password="92D1" sheet="1" formatCells="0" formatColumns="0" formatRows="0"/>
  <customSheetViews>
    <customSheetView guid="{E26F941C-F347-432D-B4B3-73B25F002075}" scale="70" fitToPage="1" hiddenColumns="1" topLeftCell="C1">
      <selection activeCell="G10" sqref="G10:H10"/>
      <pageMargins left="0.39" right="0.31" top="0.77" bottom="0.98425196850393704" header="0.51181102362204722" footer="0.51181102362204722"/>
      <printOptions horizontalCentered="1"/>
      <pageSetup paperSize="9" scale="49" orientation="landscape" cellComments="asDisplayed" r:id="rId1"/>
      <headerFooter alignWithMargins="0">
        <oddFooter>&amp;L&amp;9SD 3.1A - Form, Ongoing DR/PU and LFA Review and Recommendation_v2.1 February 2006&amp;R&amp;9Page &amp;P of &amp;N</oddFooter>
      </headerFooter>
    </customSheetView>
  </customSheetViews>
  <mergeCells count="42">
    <mergeCell ref="A17:B17"/>
    <mergeCell ref="N19:O19"/>
    <mergeCell ref="F12:G12"/>
    <mergeCell ref="A10:K10"/>
    <mergeCell ref="A12:B12"/>
    <mergeCell ref="A13:B13"/>
    <mergeCell ref="F17:G17"/>
    <mergeCell ref="A14:B14"/>
    <mergeCell ref="A15:B15"/>
    <mergeCell ref="F13:G13"/>
    <mergeCell ref="N13:O13"/>
    <mergeCell ref="N15:O15"/>
    <mergeCell ref="A1:K1"/>
    <mergeCell ref="A3:B3"/>
    <mergeCell ref="D4:E4"/>
    <mergeCell ref="D5:E5"/>
    <mergeCell ref="C3:G3"/>
    <mergeCell ref="A25:K25"/>
    <mergeCell ref="A24:K24"/>
    <mergeCell ref="A18:B18"/>
    <mergeCell ref="A20:B20"/>
    <mergeCell ref="A19:B19"/>
    <mergeCell ref="F18:G18"/>
    <mergeCell ref="F19:G19"/>
    <mergeCell ref="F20:G20"/>
    <mergeCell ref="S13:T13"/>
    <mergeCell ref="N14:O14"/>
    <mergeCell ref="C6:G6"/>
    <mergeCell ref="C7:G7"/>
    <mergeCell ref="S14:T14"/>
    <mergeCell ref="F14:G14"/>
    <mergeCell ref="N12:O12"/>
    <mergeCell ref="S12:T12"/>
    <mergeCell ref="S20:T20"/>
    <mergeCell ref="S19:T19"/>
    <mergeCell ref="N18:O18"/>
    <mergeCell ref="S18:T18"/>
    <mergeCell ref="F15:G15"/>
    <mergeCell ref="S15:T15"/>
    <mergeCell ref="N20:O20"/>
    <mergeCell ref="N17:O17"/>
    <mergeCell ref="S17:T17"/>
  </mergeCells>
  <phoneticPr fontId="29" type="noConversion"/>
  <conditionalFormatting sqref="C26:L26 C23:D23 E21:E23 E12 L12:L23 G19:G23 H12 C21:D21 F12:G15 F16:F23 C16:E17 K17:K18 G16:J17 H21:K23">
    <cfRule type="cellIs" dxfId="22" priority="44" stopIfTrue="1" operator="lessThan">
      <formula>0</formula>
    </cfRule>
  </conditionalFormatting>
  <conditionalFormatting sqref="H26:L26 C26:E26 C23:D23 H12 E21:E23 F13:G17 C21:D21 E12 L12:L23 C16:E17 K17:K18 H16:J17 H21:K23">
    <cfRule type="cellIs" dxfId="21" priority="45" stopIfTrue="1" operator="lessThan">
      <formula>0</formula>
    </cfRule>
  </conditionalFormatting>
  <conditionalFormatting sqref="R12 T19:T20 U12 S12:T15 S16:S20 P16:R17 X17:X20 T16:W17">
    <cfRule type="cellIs" dxfId="20" priority="5" stopIfTrue="1" operator="lessThan">
      <formula>0</formula>
    </cfRule>
  </conditionalFormatting>
  <conditionalFormatting sqref="U12 S13:T17 R12 P16:R17 X17:X20 U16:W17">
    <cfRule type="cellIs" dxfId="19" priority="6" stopIfTrue="1" operator="lessThan">
      <formula>0</formula>
    </cfRule>
  </conditionalFormatting>
  <conditionalFormatting sqref="C13:E15 H13:J15 C18:E20 H18:J20">
    <cfRule type="cellIs" dxfId="18" priority="3" operator="notEqual">
      <formula>P13</formula>
    </cfRule>
  </conditionalFormatting>
  <conditionalFormatting sqref="K19:K20">
    <cfRule type="cellIs" dxfId="17" priority="1" stopIfTrue="1" operator="lessThan">
      <formula>0</formula>
    </cfRule>
  </conditionalFormatting>
  <conditionalFormatting sqref="K19:K20">
    <cfRule type="cellIs" dxfId="16" priority="2" stopIfTrue="1" operator="lessThan">
      <formula>0</formula>
    </cfRule>
  </conditionalFormatting>
  <printOptions horizontalCentered="1"/>
  <pageMargins left="0.74803149606299213" right="0.74803149606299213" top="0.39370078740157483" bottom="0.59055118110236227" header="0.51181102362204722" footer="0.51181102362204722"/>
  <pageSetup paperSize="9" scale="41" fitToHeight="0" orientation="landscape" cellComments="asDisplayed" r:id="rId2"/>
  <headerFooter alignWithMargins="0">
    <oddFooter>&amp;L&amp;9&amp;F&amp;C&amp;A&amp;R&amp;9Page &amp;P of &amp;N</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11"/>
    <pageSetUpPr fitToPage="1"/>
  </sheetPr>
  <dimension ref="A1:U40"/>
  <sheetViews>
    <sheetView showGridLines="0" view="pageBreakPreview" topLeftCell="B4" zoomScale="70" zoomScaleNormal="55" zoomScaleSheetLayoutView="70" workbookViewId="0">
      <selection activeCell="N29" sqref="N29:P29"/>
    </sheetView>
  </sheetViews>
  <sheetFormatPr defaultRowHeight="12.75" outlineLevelRow="1"/>
  <cols>
    <col min="1" max="1" width="14.85546875" style="13" customWidth="1"/>
    <col min="2" max="2" width="35.85546875" style="13" customWidth="1"/>
    <col min="3" max="3" width="18.5703125" style="13" customWidth="1"/>
    <col min="4" max="4" width="15.85546875" style="37" customWidth="1"/>
    <col min="5" max="5" width="19.5703125" style="13" customWidth="1"/>
    <col min="6" max="6" width="17.7109375" style="13" customWidth="1"/>
    <col min="7" max="7" width="14" style="13" customWidth="1"/>
    <col min="8" max="8" width="13.42578125" style="38" customWidth="1"/>
    <col min="9" max="9" width="13.5703125" style="13" customWidth="1"/>
    <col min="10" max="10" width="17.5703125" style="13" customWidth="1"/>
    <col min="11" max="11" width="21.7109375" style="13" customWidth="1"/>
    <col min="12" max="12" width="16.28515625" style="13" customWidth="1"/>
    <col min="13" max="13" width="26.140625" style="13" customWidth="1"/>
    <col min="14" max="14" width="16.140625" style="13" customWidth="1"/>
    <col min="15" max="15" width="37" style="13" customWidth="1"/>
    <col min="16" max="16" width="17" style="13" customWidth="1"/>
    <col min="17" max="20" width="9.140625" style="63"/>
    <col min="21" max="21" width="15.42578125" style="63" hidden="1" customWidth="1"/>
    <col min="22" max="16384" width="9.140625" style="63"/>
  </cols>
  <sheetData>
    <row r="1" spans="1:21" ht="25.5" customHeight="1">
      <c r="A1" s="1786" t="s">
        <v>413</v>
      </c>
      <c r="B1" s="1786"/>
      <c r="C1" s="1786"/>
      <c r="D1" s="1786"/>
      <c r="E1" s="1786"/>
      <c r="F1" s="1786"/>
      <c r="G1" s="491"/>
      <c r="H1" s="35"/>
      <c r="I1" s="35"/>
      <c r="J1" s="12"/>
      <c r="K1" s="12"/>
      <c r="L1" s="12"/>
      <c r="M1" s="12"/>
      <c r="N1" s="12"/>
      <c r="O1" s="12"/>
      <c r="U1" s="1000" t="s">
        <v>610</v>
      </c>
    </row>
    <row r="2" spans="1:21" ht="25.5" hidden="1" customHeight="1">
      <c r="A2" s="491"/>
      <c r="B2" s="491"/>
      <c r="C2" s="491"/>
      <c r="D2" s="491"/>
      <c r="E2" s="491"/>
      <c r="F2" s="491"/>
      <c r="G2" s="491"/>
      <c r="H2" s="35"/>
      <c r="I2" s="35"/>
      <c r="J2" s="12"/>
      <c r="K2" s="12"/>
      <c r="L2" s="12"/>
      <c r="M2" s="12"/>
      <c r="N2" s="12"/>
      <c r="O2" s="12"/>
      <c r="U2" s="13" t="s">
        <v>533</v>
      </c>
    </row>
    <row r="3" spans="1:21" ht="25.5" hidden="1" customHeight="1">
      <c r="A3" s="491"/>
      <c r="B3" s="491"/>
      <c r="C3" s="491"/>
      <c r="D3" s="491"/>
      <c r="E3" s="491"/>
      <c r="F3" s="491"/>
      <c r="G3" s="491"/>
      <c r="H3" s="35"/>
      <c r="I3" s="35"/>
      <c r="J3" s="12"/>
      <c r="K3" s="12"/>
      <c r="L3" s="12"/>
      <c r="M3" s="12"/>
      <c r="N3" s="12"/>
      <c r="O3" s="12"/>
      <c r="U3" s="13" t="s">
        <v>8</v>
      </c>
    </row>
    <row r="4" spans="1:21" ht="27.75" customHeight="1" thickBot="1">
      <c r="A4" s="99" t="s">
        <v>506</v>
      </c>
      <c r="U4" s="174" t="s">
        <v>33</v>
      </c>
    </row>
    <row r="5" spans="1:21" ht="15" customHeight="1">
      <c r="A5" s="1787" t="s">
        <v>420</v>
      </c>
      <c r="B5" s="1788"/>
      <c r="C5" s="1789" t="s">
        <v>654</v>
      </c>
      <c r="D5" s="1790"/>
      <c r="E5" s="1790"/>
      <c r="F5" s="1791"/>
      <c r="G5" s="49"/>
      <c r="H5" s="170"/>
      <c r="I5" s="4"/>
      <c r="O5" s="44"/>
      <c r="U5" s="174" t="s">
        <v>184</v>
      </c>
    </row>
    <row r="6" spans="1:21" ht="15" customHeight="1">
      <c r="A6" s="1795" t="s">
        <v>421</v>
      </c>
      <c r="B6" s="1796"/>
      <c r="C6" s="1792" t="s">
        <v>655</v>
      </c>
      <c r="D6" s="1793"/>
      <c r="E6" s="1793"/>
      <c r="F6" s="1794"/>
      <c r="G6" s="49"/>
      <c r="H6" s="13"/>
      <c r="U6" s="174" t="s">
        <v>524</v>
      </c>
    </row>
    <row r="7" spans="1:21" ht="27" customHeight="1">
      <c r="A7" s="1795" t="s">
        <v>618</v>
      </c>
      <c r="B7" s="1796"/>
      <c r="C7" s="1797" t="s">
        <v>656</v>
      </c>
      <c r="D7" s="1798"/>
      <c r="E7" s="1798"/>
      <c r="F7" s="1799"/>
      <c r="G7" s="50"/>
      <c r="H7" s="13"/>
      <c r="U7" s="174" t="s">
        <v>529</v>
      </c>
    </row>
    <row r="8" spans="1:21" ht="15" customHeight="1">
      <c r="A8" s="1795" t="s">
        <v>591</v>
      </c>
      <c r="B8" s="1796"/>
      <c r="C8" s="1792" t="s">
        <v>657</v>
      </c>
      <c r="D8" s="1793"/>
      <c r="E8" s="1793"/>
      <c r="F8" s="1794"/>
      <c r="G8" s="49"/>
      <c r="H8" s="13"/>
      <c r="U8" s="13" t="s">
        <v>543</v>
      </c>
    </row>
    <row r="9" spans="1:21" ht="15" customHeight="1">
      <c r="A9" s="1795" t="s">
        <v>616</v>
      </c>
      <c r="B9" s="1796"/>
      <c r="C9" s="1775">
        <v>39479</v>
      </c>
      <c r="D9" s="1776"/>
      <c r="E9" s="1776"/>
      <c r="F9" s="1777"/>
      <c r="G9" s="51"/>
      <c r="H9" s="13"/>
      <c r="U9" s="13" t="s">
        <v>199</v>
      </c>
    </row>
    <row r="10" spans="1:21" ht="15" customHeight="1" thickBot="1">
      <c r="A10" s="1751" t="s">
        <v>592</v>
      </c>
      <c r="B10" s="1752"/>
      <c r="C10" s="1770" t="s">
        <v>658</v>
      </c>
      <c r="D10" s="1771"/>
      <c r="E10" s="1771"/>
      <c r="F10" s="1772"/>
      <c r="G10" s="52"/>
      <c r="H10" s="13"/>
      <c r="U10" s="13" t="s">
        <v>200</v>
      </c>
    </row>
    <row r="11" spans="1:21" ht="27" customHeight="1" thickBot="1">
      <c r="A11" s="98" t="s">
        <v>589</v>
      </c>
      <c r="B11" s="10"/>
      <c r="C11" s="10"/>
      <c r="D11" s="36"/>
      <c r="E11" s="10"/>
      <c r="F11" s="10"/>
      <c r="G11" s="10"/>
      <c r="H11" s="11"/>
      <c r="I11" s="10"/>
      <c r="J11" s="12"/>
      <c r="K11" s="12"/>
      <c r="L11" s="12"/>
      <c r="M11" s="12"/>
      <c r="N11" s="12"/>
    </row>
    <row r="12" spans="1:21" ht="15" customHeight="1">
      <c r="A12" s="493" t="s">
        <v>624</v>
      </c>
      <c r="B12" s="496"/>
      <c r="C12" s="53" t="s">
        <v>630</v>
      </c>
      <c r="D12" s="713" t="s">
        <v>659</v>
      </c>
      <c r="E12" s="43" t="s">
        <v>631</v>
      </c>
      <c r="F12" s="745">
        <v>16</v>
      </c>
      <c r="G12" s="49"/>
      <c r="H12" s="13"/>
    </row>
    <row r="13" spans="1:21" ht="15" customHeight="1">
      <c r="A13" s="513" t="s">
        <v>625</v>
      </c>
      <c r="B13" s="40"/>
      <c r="C13" s="54" t="s">
        <v>593</v>
      </c>
      <c r="D13" s="841">
        <v>40848</v>
      </c>
      <c r="E13" s="5" t="s">
        <v>611</v>
      </c>
      <c r="F13" s="714">
        <v>40939</v>
      </c>
      <c r="G13" s="39"/>
      <c r="H13" s="13"/>
    </row>
    <row r="14" spans="1:21" ht="15" customHeight="1" thickBot="1">
      <c r="A14" s="55" t="s">
        <v>626</v>
      </c>
      <c r="B14" s="41"/>
      <c r="C14" s="1773">
        <v>16</v>
      </c>
      <c r="D14" s="1754"/>
      <c r="E14" s="1754"/>
      <c r="F14" s="1755"/>
      <c r="G14" s="52"/>
      <c r="H14" s="13"/>
    </row>
    <row r="15" spans="1:21" ht="27" customHeight="1" thickBot="1">
      <c r="A15" s="98" t="s">
        <v>588</v>
      </c>
      <c r="B15" s="10"/>
      <c r="C15" s="10"/>
      <c r="D15" s="36"/>
      <c r="E15" s="10"/>
      <c r="F15" s="10"/>
      <c r="G15" s="10"/>
      <c r="H15" s="11"/>
      <c r="I15" s="10"/>
      <c r="J15" s="12"/>
      <c r="K15" s="12"/>
      <c r="L15" s="12"/>
      <c r="M15" s="12"/>
      <c r="N15" s="12"/>
    </row>
    <row r="16" spans="1:21" ht="15" customHeight="1">
      <c r="A16" s="493" t="s">
        <v>629</v>
      </c>
      <c r="B16" s="496"/>
      <c r="C16" s="1237" t="s">
        <v>630</v>
      </c>
      <c r="D16" s="713" t="s">
        <v>610</v>
      </c>
      <c r="E16" s="43" t="s">
        <v>631</v>
      </c>
      <c r="F16" s="746"/>
      <c r="G16" s="49"/>
      <c r="H16" s="13"/>
    </row>
    <row r="17" spans="1:21" ht="15" customHeight="1">
      <c r="A17" s="513" t="s">
        <v>627</v>
      </c>
      <c r="B17" s="40"/>
      <c r="C17" s="1238" t="s">
        <v>593</v>
      </c>
      <c r="D17" s="1068"/>
      <c r="E17" s="5" t="s">
        <v>611</v>
      </c>
      <c r="F17" s="1348"/>
      <c r="G17" s="39"/>
      <c r="H17" s="13"/>
    </row>
    <row r="18" spans="1:21" ht="15" customHeight="1" thickBot="1">
      <c r="A18" s="55" t="s">
        <v>628</v>
      </c>
      <c r="B18" s="167"/>
      <c r="C18" s="1753"/>
      <c r="D18" s="1754"/>
      <c r="E18" s="1754"/>
      <c r="F18" s="1755"/>
      <c r="G18" s="52"/>
      <c r="H18" s="13"/>
    </row>
    <row r="19" spans="1:21" ht="15">
      <c r="A19" s="10"/>
      <c r="B19" s="10"/>
      <c r="C19" s="10"/>
      <c r="D19" s="36"/>
      <c r="E19" s="10"/>
      <c r="F19" s="10"/>
      <c r="G19" s="10"/>
      <c r="H19" s="11"/>
      <c r="I19" s="10"/>
      <c r="J19" s="12"/>
      <c r="K19" s="12"/>
      <c r="L19" s="12"/>
      <c r="M19" s="12"/>
      <c r="N19" s="12"/>
    </row>
    <row r="20" spans="1:21" ht="12.75" customHeight="1">
      <c r="A20" s="1756"/>
      <c r="B20" s="1756"/>
      <c r="C20" s="1756"/>
      <c r="D20" s="1756"/>
      <c r="E20" s="1756"/>
      <c r="F20" s="1756"/>
      <c r="G20" s="1756"/>
      <c r="H20" s="1756"/>
      <c r="I20" s="1756"/>
      <c r="J20" s="1756"/>
      <c r="K20" s="1756"/>
      <c r="L20" s="1756"/>
      <c r="M20" s="1756"/>
      <c r="N20" s="1756"/>
      <c r="O20" s="1756"/>
      <c r="P20" s="1756"/>
    </row>
    <row r="21" spans="1:21" ht="12.75" customHeight="1">
      <c r="A21" s="10"/>
      <c r="B21" s="10"/>
      <c r="C21" s="10"/>
      <c r="D21" s="36"/>
      <c r="E21" s="10"/>
      <c r="F21" s="10"/>
      <c r="G21" s="10"/>
      <c r="H21" s="11"/>
      <c r="I21" s="10"/>
      <c r="J21" s="12"/>
      <c r="K21" s="12"/>
      <c r="L21" s="12"/>
      <c r="M21" s="12"/>
      <c r="N21" s="12"/>
    </row>
    <row r="22" spans="1:21" ht="54.75" customHeight="1">
      <c r="A22" s="9" t="s">
        <v>162</v>
      </c>
      <c r="B22" s="9"/>
      <c r="C22" s="10"/>
      <c r="D22" s="36"/>
      <c r="E22" s="10"/>
      <c r="F22" s="10"/>
      <c r="G22" s="10"/>
      <c r="H22" s="11"/>
      <c r="I22" s="10"/>
      <c r="J22" s="12"/>
      <c r="K22" s="12"/>
      <c r="L22" s="12"/>
      <c r="M22" s="12"/>
      <c r="N22" s="12"/>
    </row>
    <row r="23" spans="1:21" s="14" customFormat="1" ht="34.5" customHeight="1" thickBot="1">
      <c r="A23" s="465" t="s">
        <v>414</v>
      </c>
      <c r="B23" s="45"/>
      <c r="C23" s="45"/>
      <c r="D23" s="45"/>
      <c r="E23" s="45"/>
      <c r="F23" s="45"/>
      <c r="G23" s="45"/>
      <c r="H23" s="45"/>
      <c r="I23" s="45"/>
      <c r="J23" s="45"/>
      <c r="K23" s="45"/>
      <c r="L23" s="45"/>
      <c r="M23" s="45"/>
      <c r="N23" s="45"/>
      <c r="O23" s="45"/>
      <c r="P23" s="46"/>
      <c r="U23" s="63"/>
    </row>
    <row r="24" spans="1:21" s="67" customFormat="1" ht="20.25" customHeight="1">
      <c r="A24" s="887" t="s">
        <v>379</v>
      </c>
      <c r="B24" s="56"/>
      <c r="C24" s="56"/>
      <c r="D24" s="56"/>
      <c r="E24" s="56"/>
      <c r="F24" s="56"/>
      <c r="G24" s="56"/>
      <c r="H24" s="56"/>
      <c r="I24" s="56"/>
      <c r="J24" s="56"/>
      <c r="K24" s="56"/>
      <c r="L24" s="56"/>
      <c r="M24" s="56"/>
      <c r="N24" s="56"/>
      <c r="O24" s="1759"/>
      <c r="P24" s="1760"/>
      <c r="U24" s="14"/>
    </row>
    <row r="25" spans="1:21" ht="31.5" customHeight="1">
      <c r="A25" s="1757" t="s">
        <v>633</v>
      </c>
      <c r="B25" s="1763" t="s">
        <v>596</v>
      </c>
      <c r="C25" s="1778"/>
      <c r="D25" s="1778"/>
      <c r="E25" s="1778"/>
      <c r="F25" s="1779"/>
      <c r="G25" s="1763" t="s">
        <v>619</v>
      </c>
      <c r="H25" s="1764"/>
      <c r="I25" s="1761" t="s">
        <v>154</v>
      </c>
      <c r="J25" s="1761" t="s">
        <v>155</v>
      </c>
      <c r="K25" s="1761" t="s">
        <v>578</v>
      </c>
      <c r="L25" s="1761" t="s">
        <v>156</v>
      </c>
      <c r="M25" s="1761" t="s">
        <v>134</v>
      </c>
      <c r="N25" s="1763" t="s">
        <v>579</v>
      </c>
      <c r="O25" s="1765"/>
      <c r="P25" s="1766"/>
      <c r="U25" s="67"/>
    </row>
    <row r="26" spans="1:21" ht="22.5" customHeight="1" thickBot="1">
      <c r="A26" s="1758"/>
      <c r="B26" s="1780"/>
      <c r="C26" s="1781"/>
      <c r="D26" s="1781"/>
      <c r="E26" s="1781"/>
      <c r="F26" s="1782"/>
      <c r="G26" s="1076" t="s">
        <v>594</v>
      </c>
      <c r="H26" s="1076" t="s">
        <v>595</v>
      </c>
      <c r="I26" s="1762"/>
      <c r="J26" s="1762"/>
      <c r="K26" s="1762"/>
      <c r="L26" s="1762"/>
      <c r="M26" s="1762"/>
      <c r="N26" s="1767"/>
      <c r="O26" s="1768"/>
      <c r="P26" s="1769"/>
    </row>
    <row r="27" spans="1:21" ht="59.25" customHeight="1">
      <c r="A27" s="1073" t="s">
        <v>660</v>
      </c>
      <c r="B27" s="1745" t="s">
        <v>685</v>
      </c>
      <c r="C27" s="1746"/>
      <c r="D27" s="1746"/>
      <c r="E27" s="1746"/>
      <c r="F27" s="1747"/>
      <c r="G27" s="1383" t="s">
        <v>664</v>
      </c>
      <c r="H27" s="1387">
        <v>2006</v>
      </c>
      <c r="I27" s="1387">
        <v>2011</v>
      </c>
      <c r="J27" s="1388" t="s">
        <v>666</v>
      </c>
      <c r="K27" s="1067" t="s">
        <v>476</v>
      </c>
      <c r="L27" s="1113" t="s">
        <v>476</v>
      </c>
      <c r="M27" s="915" t="s">
        <v>8</v>
      </c>
      <c r="N27" s="1743" t="s">
        <v>1178</v>
      </c>
      <c r="O27" s="1743"/>
      <c r="P27" s="1744"/>
    </row>
    <row r="28" spans="1:21" ht="59.25" customHeight="1">
      <c r="A28" s="1073" t="s">
        <v>660</v>
      </c>
      <c r="B28" s="1748" t="s">
        <v>661</v>
      </c>
      <c r="C28" s="1749"/>
      <c r="D28" s="1749"/>
      <c r="E28" s="1749"/>
      <c r="F28" s="1750"/>
      <c r="G28" s="1384" t="s">
        <v>665</v>
      </c>
      <c r="H28" s="1387">
        <v>2006</v>
      </c>
      <c r="I28" s="1387">
        <v>2011</v>
      </c>
      <c r="J28" s="1388" t="s">
        <v>666</v>
      </c>
      <c r="K28" s="1067" t="s">
        <v>476</v>
      </c>
      <c r="L28" s="1113" t="s">
        <v>476</v>
      </c>
      <c r="M28" s="915" t="s">
        <v>8</v>
      </c>
      <c r="N28" s="1743" t="s">
        <v>1179</v>
      </c>
      <c r="O28" s="1743"/>
      <c r="P28" s="1744"/>
    </row>
    <row r="29" spans="1:21" ht="59.25" customHeight="1">
      <c r="A29" s="1073" t="s">
        <v>370</v>
      </c>
      <c r="B29" s="1748" t="s">
        <v>662</v>
      </c>
      <c r="C29" s="1749"/>
      <c r="D29" s="1749"/>
      <c r="E29" s="1749"/>
      <c r="F29" s="1750"/>
      <c r="G29" s="1385">
        <v>0.47</v>
      </c>
      <c r="H29" s="1387">
        <v>2009</v>
      </c>
      <c r="I29" s="1387">
        <v>2011</v>
      </c>
      <c r="J29" s="1388" t="s">
        <v>667</v>
      </c>
      <c r="K29" s="1067" t="s">
        <v>680</v>
      </c>
      <c r="L29" s="1113" t="s">
        <v>667</v>
      </c>
      <c r="M29" s="915" t="s">
        <v>533</v>
      </c>
      <c r="N29" s="1783" t="s">
        <v>373</v>
      </c>
      <c r="O29" s="1784"/>
      <c r="P29" s="1785"/>
    </row>
    <row r="30" spans="1:21" ht="59.25" customHeight="1">
      <c r="A30" s="1073" t="s">
        <v>370</v>
      </c>
      <c r="B30" s="1774" t="s">
        <v>663</v>
      </c>
      <c r="C30" s="1774"/>
      <c r="D30" s="1774"/>
      <c r="E30" s="1774"/>
      <c r="F30" s="1774"/>
      <c r="G30" s="1386">
        <v>0.53</v>
      </c>
      <c r="H30" s="1387">
        <v>2009</v>
      </c>
      <c r="I30" s="1387">
        <v>2011</v>
      </c>
      <c r="J30" s="1388" t="s">
        <v>668</v>
      </c>
      <c r="K30" s="1067" t="s">
        <v>680</v>
      </c>
      <c r="L30" s="1113" t="s">
        <v>667</v>
      </c>
      <c r="M30" s="915" t="s">
        <v>533</v>
      </c>
      <c r="N30" s="1783" t="s">
        <v>372</v>
      </c>
      <c r="O30" s="1784"/>
      <c r="P30" s="1785"/>
    </row>
    <row r="31" spans="1:21" ht="59.25" customHeight="1">
      <c r="A31" s="1073" t="s">
        <v>610</v>
      </c>
      <c r="B31" s="1774"/>
      <c r="C31" s="1774"/>
      <c r="D31" s="1774"/>
      <c r="E31" s="1774"/>
      <c r="F31" s="1774"/>
      <c r="G31" s="1129" t="s">
        <v>476</v>
      </c>
      <c r="H31" s="1140" t="s">
        <v>476</v>
      </c>
      <c r="I31" s="1140" t="s">
        <v>476</v>
      </c>
      <c r="J31" s="1113" t="s">
        <v>476</v>
      </c>
      <c r="K31" s="1067" t="s">
        <v>476</v>
      </c>
      <c r="L31" s="1113" t="s">
        <v>476</v>
      </c>
      <c r="M31" s="915" t="s">
        <v>610</v>
      </c>
      <c r="N31" s="1783"/>
      <c r="O31" s="1784"/>
      <c r="P31" s="1785"/>
    </row>
    <row r="32" spans="1:21" ht="59.25" customHeight="1">
      <c r="A32" s="1073" t="s">
        <v>610</v>
      </c>
      <c r="B32" s="1774"/>
      <c r="C32" s="1774"/>
      <c r="D32" s="1774"/>
      <c r="E32" s="1774"/>
      <c r="F32" s="1774"/>
      <c r="G32" s="1129" t="s">
        <v>476</v>
      </c>
      <c r="H32" s="1140" t="s">
        <v>476</v>
      </c>
      <c r="I32" s="1140" t="s">
        <v>476</v>
      </c>
      <c r="J32" s="1113" t="s">
        <v>476</v>
      </c>
      <c r="K32" s="1067" t="s">
        <v>476</v>
      </c>
      <c r="L32" s="1113" t="s">
        <v>476</v>
      </c>
      <c r="M32" s="915" t="s">
        <v>610</v>
      </c>
      <c r="N32" s="1783"/>
      <c r="O32" s="1784"/>
      <c r="P32" s="1785"/>
    </row>
    <row r="33" spans="1:21" ht="59.25" customHeight="1" outlineLevel="1">
      <c r="A33" s="1073" t="s">
        <v>610</v>
      </c>
      <c r="B33" s="1774"/>
      <c r="C33" s="1774"/>
      <c r="D33" s="1774"/>
      <c r="E33" s="1774"/>
      <c r="F33" s="1774"/>
      <c r="G33" s="1129" t="s">
        <v>476</v>
      </c>
      <c r="H33" s="1140" t="s">
        <v>476</v>
      </c>
      <c r="I33" s="1140" t="s">
        <v>476</v>
      </c>
      <c r="J33" s="1113" t="s">
        <v>476</v>
      </c>
      <c r="K33" s="1067" t="s">
        <v>476</v>
      </c>
      <c r="L33" s="1113" t="s">
        <v>476</v>
      </c>
      <c r="M33" s="915" t="s">
        <v>610</v>
      </c>
      <c r="N33" s="1783"/>
      <c r="O33" s="1784"/>
      <c r="P33" s="1785"/>
    </row>
    <row r="34" spans="1:21" ht="59.25" customHeight="1" outlineLevel="1">
      <c r="A34" s="1073" t="s">
        <v>610</v>
      </c>
      <c r="B34" s="1774"/>
      <c r="C34" s="1774"/>
      <c r="D34" s="1774"/>
      <c r="E34" s="1774"/>
      <c r="F34" s="1774"/>
      <c r="G34" s="1129" t="s">
        <v>476</v>
      </c>
      <c r="H34" s="1140" t="s">
        <v>476</v>
      </c>
      <c r="I34" s="1140" t="s">
        <v>476</v>
      </c>
      <c r="J34" s="1113" t="s">
        <v>476</v>
      </c>
      <c r="K34" s="1067" t="s">
        <v>476</v>
      </c>
      <c r="L34" s="1113" t="s">
        <v>476</v>
      </c>
      <c r="M34" s="915" t="s">
        <v>610</v>
      </c>
      <c r="N34" s="1783"/>
      <c r="O34" s="1784"/>
      <c r="P34" s="1785"/>
    </row>
    <row r="35" spans="1:21" ht="59.25" customHeight="1" outlineLevel="1">
      <c r="A35" s="1073" t="s">
        <v>610</v>
      </c>
      <c r="B35" s="1774"/>
      <c r="C35" s="1774"/>
      <c r="D35" s="1774"/>
      <c r="E35" s="1774"/>
      <c r="F35" s="1774"/>
      <c r="G35" s="1129" t="s">
        <v>476</v>
      </c>
      <c r="H35" s="1140" t="s">
        <v>476</v>
      </c>
      <c r="I35" s="1140" t="s">
        <v>476</v>
      </c>
      <c r="J35" s="1113" t="s">
        <v>476</v>
      </c>
      <c r="K35" s="1067" t="s">
        <v>476</v>
      </c>
      <c r="L35" s="1113" t="s">
        <v>476</v>
      </c>
      <c r="M35" s="915" t="s">
        <v>610</v>
      </c>
      <c r="N35" s="1783"/>
      <c r="O35" s="1784"/>
      <c r="P35" s="1785"/>
    </row>
    <row r="36" spans="1:21" ht="59.25" customHeight="1" outlineLevel="1">
      <c r="A36" s="1297" t="s">
        <v>610</v>
      </c>
      <c r="B36" s="1774"/>
      <c r="C36" s="1774"/>
      <c r="D36" s="1774"/>
      <c r="E36" s="1774"/>
      <c r="F36" s="1774"/>
      <c r="G36" s="1129" t="s">
        <v>476</v>
      </c>
      <c r="H36" s="1140" t="s">
        <v>476</v>
      </c>
      <c r="I36" s="1140" t="s">
        <v>476</v>
      </c>
      <c r="J36" s="1113" t="s">
        <v>476</v>
      </c>
      <c r="K36" s="1067" t="s">
        <v>476</v>
      </c>
      <c r="L36" s="1113" t="s">
        <v>476</v>
      </c>
      <c r="M36" s="915" t="s">
        <v>610</v>
      </c>
      <c r="N36" s="1783"/>
      <c r="O36" s="1784"/>
      <c r="P36" s="1785"/>
    </row>
    <row r="37" spans="1:21" s="14" customFormat="1" ht="13.5" customHeight="1">
      <c r="A37" s="33"/>
      <c r="B37" s="45"/>
      <c r="C37" s="45"/>
      <c r="D37" s="45"/>
      <c r="E37" s="45"/>
      <c r="F37" s="45"/>
      <c r="G37" s="45"/>
      <c r="H37" s="45"/>
      <c r="I37" s="45"/>
      <c r="J37" s="45"/>
      <c r="K37" s="45"/>
      <c r="L37" s="45"/>
      <c r="M37" s="45"/>
      <c r="N37" s="45"/>
      <c r="O37" s="45"/>
      <c r="P37" s="46"/>
      <c r="U37" s="63"/>
    </row>
    <row r="38" spans="1:21" s="14" customFormat="1" ht="13.5" customHeight="1">
      <c r="A38" s="12"/>
      <c r="B38" s="12"/>
      <c r="C38" s="12"/>
      <c r="D38" s="12"/>
      <c r="E38" s="12"/>
      <c r="F38" s="12"/>
      <c r="G38" s="12"/>
      <c r="H38" s="12"/>
      <c r="I38" s="12"/>
      <c r="J38" s="12"/>
      <c r="K38" s="12"/>
      <c r="L38" s="12"/>
      <c r="M38" s="12"/>
      <c r="N38" s="12"/>
      <c r="O38" s="12"/>
      <c r="P38" s="12"/>
    </row>
    <row r="39" spans="1:21">
      <c r="U39" s="14"/>
    </row>
    <row r="40" spans="1:21" ht="12.75" customHeight="1"/>
  </sheetData>
  <sheetProtection formatCells="0" formatColumns="0" formatRows="0"/>
  <customSheetViews>
    <customSheetView guid="{E26F941C-F347-432D-B4B3-73B25F002075}" scale="55" showPageBreaks="1" showGridLines="0" fitToPage="1" printArea="1" hiddenRows="1" topLeftCell="A13">
      <selection activeCell="B51" sqref="B51:H51"/>
      <pageMargins left="0.41" right="0.43" top="0.43" bottom="0.46" header="0.4" footer="0.28000000000000003"/>
      <printOptions horizontalCentered="1"/>
      <pageSetup paperSize="9" scale="31" orientation="landscape" cellComments="asDisplayed" r:id="rId1"/>
      <headerFooter alignWithMargins="0">
        <oddFooter>&amp;L&amp;9SD 3.1A - Form, Ongoing DR/PU and LFA Review and Recommendation_v2.1 February 2006&amp;R&amp;9Page &amp;P of &amp;N</oddFooter>
      </headerFooter>
    </customSheetView>
  </customSheetViews>
  <mergeCells count="46">
    <mergeCell ref="A1:F1"/>
    <mergeCell ref="A5:B5"/>
    <mergeCell ref="C5:F5"/>
    <mergeCell ref="C6:F6"/>
    <mergeCell ref="A9:B9"/>
    <mergeCell ref="A6:B6"/>
    <mergeCell ref="A7:B7"/>
    <mergeCell ref="A8:B8"/>
    <mergeCell ref="C7:F7"/>
    <mergeCell ref="C8:F8"/>
    <mergeCell ref="N35:P35"/>
    <mergeCell ref="N36:P36"/>
    <mergeCell ref="N34:P34"/>
    <mergeCell ref="N29:P29"/>
    <mergeCell ref="N30:P30"/>
    <mergeCell ref="N31:P31"/>
    <mergeCell ref="N33:P33"/>
    <mergeCell ref="N32:P32"/>
    <mergeCell ref="B34:F34"/>
    <mergeCell ref="C9:F9"/>
    <mergeCell ref="B25:F26"/>
    <mergeCell ref="B35:F35"/>
    <mergeCell ref="B36:F36"/>
    <mergeCell ref="B33:F33"/>
    <mergeCell ref="J25:J26"/>
    <mergeCell ref="I25:I26"/>
    <mergeCell ref="B32:F32"/>
    <mergeCell ref="B29:F29"/>
    <mergeCell ref="B30:F30"/>
    <mergeCell ref="B31:F31"/>
    <mergeCell ref="N28:P28"/>
    <mergeCell ref="B27:F27"/>
    <mergeCell ref="B28:F28"/>
    <mergeCell ref="A10:B10"/>
    <mergeCell ref="C18:F18"/>
    <mergeCell ref="A20:P20"/>
    <mergeCell ref="A25:A26"/>
    <mergeCell ref="O24:P24"/>
    <mergeCell ref="L25:L26"/>
    <mergeCell ref="G25:H25"/>
    <mergeCell ref="N25:P26"/>
    <mergeCell ref="M25:M26"/>
    <mergeCell ref="K25:K26"/>
    <mergeCell ref="N27:P27"/>
    <mergeCell ref="C10:F10"/>
    <mergeCell ref="C14:F14"/>
  </mergeCells>
  <phoneticPr fontId="0" type="noConversion"/>
  <dataValidations xWindow="817" yWindow="445" count="7">
    <dataValidation type="list" allowBlank="1" showInputMessage="1" showErrorMessage="1" sqref="G18">
      <formula1>"Select,N/A,1,2,3,4,5,6,7,8,9,10,11,12,13,14,15,16,17,18,19,20"</formula1>
    </dataValidation>
    <dataValidation type="list" allowBlank="1" showInputMessage="1" showErrorMessage="1" sqref="G10:G11 C10:F10">
      <formula1>"Select,USD,EUR"</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D16">
      <formula1>"Select,Quarter,Semester,Annual,Other"</formula1>
    </dataValidation>
    <dataValidation type="list" allowBlank="1" showInputMessage="1" sqref="D12">
      <formula1>"Select,Quarter,Semester,Annual,Other (type)"</formula1>
    </dataValidation>
    <dataValidation type="list" errorStyle="information" allowBlank="1" showInputMessage="1" prompt="Please select the data source from the list below. You can also type in your own text." sqref="M27:M36">
      <formula1>$U$1:$U$10</formula1>
    </dataValidation>
    <dataValidation type="list" allowBlank="1" showInputMessage="1" showErrorMessage="1" sqref="A27:A36">
      <formula1>"Select, Impact, Outcome"</formula1>
    </dataValidation>
  </dataValidations>
  <printOptions horizontalCentered="1"/>
  <pageMargins left="0.74803149606299213" right="0.74803149606299213" top="0.59055118110236227" bottom="0.59055118110236227" header="0.51181102362204722" footer="0.51181102362204722"/>
  <pageSetup paperSize="9" scale="42" fitToHeight="0" orientation="landscape" cellComments="asDisplayed" r:id="rId2"/>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IT76"/>
  <sheetViews>
    <sheetView showGridLines="0" view="pageBreakPreview" zoomScale="70" zoomScaleNormal="75" zoomScaleSheetLayoutView="70" workbookViewId="0">
      <selection activeCell="A37" sqref="A37:J40"/>
    </sheetView>
  </sheetViews>
  <sheetFormatPr defaultColWidth="0" defaultRowHeight="12.75"/>
  <cols>
    <col min="1" max="1" width="3.85546875" style="692" customWidth="1"/>
    <col min="2" max="2" width="14.7109375" style="692" customWidth="1"/>
    <col min="3" max="3" width="33.140625" style="692" customWidth="1"/>
    <col min="4" max="4" width="27.5703125" style="692" customWidth="1"/>
    <col min="5" max="5" width="20.85546875" style="692" customWidth="1"/>
    <col min="6" max="6" width="18.5703125" style="692" customWidth="1"/>
    <col min="7" max="7" width="30.140625" style="843" customWidth="1"/>
    <col min="8" max="8" width="19.140625" style="723" customWidth="1"/>
    <col min="9" max="9" width="7" style="723" customWidth="1"/>
    <col min="10" max="10" width="86.5703125" style="723" customWidth="1"/>
    <col min="11" max="11" width="6.5703125" style="723" customWidth="1"/>
    <col min="12" max="22" width="9.140625" style="723" customWidth="1"/>
    <col min="23" max="255" width="9.140625" style="692" customWidth="1"/>
    <col min="256" max="16384" width="0" style="692" hidden="1"/>
  </cols>
  <sheetData>
    <row r="1" spans="1:254" s="723" customFormat="1" ht="25.5" customHeight="1">
      <c r="A1" s="2166" t="s">
        <v>182</v>
      </c>
      <c r="B1" s="2166"/>
      <c r="C1" s="2166"/>
      <c r="D1" s="2166"/>
      <c r="E1" s="2166"/>
      <c r="F1" s="2166"/>
      <c r="G1" s="2166"/>
      <c r="H1" s="2166"/>
      <c r="I1" s="2166"/>
      <c r="J1" s="2166"/>
      <c r="K1" s="865"/>
      <c r="L1" s="865"/>
      <c r="M1" s="865"/>
      <c r="R1" s="849"/>
      <c r="S1" s="849"/>
      <c r="T1" s="849"/>
      <c r="U1" s="849"/>
      <c r="V1" s="849"/>
      <c r="W1" s="849"/>
      <c r="X1" s="849"/>
      <c r="Y1" s="849"/>
      <c r="Z1" s="849"/>
      <c r="AA1" s="849"/>
      <c r="AB1" s="849"/>
      <c r="AC1" s="849"/>
      <c r="AD1" s="849"/>
      <c r="AE1" s="849"/>
      <c r="AF1" s="849"/>
      <c r="AG1" s="849"/>
      <c r="AH1" s="849"/>
      <c r="AI1" s="849"/>
      <c r="AJ1" s="849"/>
      <c r="AK1" s="849"/>
      <c r="AL1" s="849"/>
      <c r="AM1" s="849"/>
      <c r="AN1" s="849"/>
      <c r="AO1" s="849"/>
      <c r="AP1" s="849"/>
      <c r="AQ1" s="849"/>
      <c r="AR1" s="849"/>
      <c r="AS1" s="849"/>
      <c r="AT1" s="849"/>
      <c r="AU1" s="849"/>
      <c r="AV1" s="849"/>
      <c r="AW1" s="849"/>
      <c r="AX1" s="849"/>
      <c r="AY1" s="849"/>
      <c r="AZ1" s="849"/>
      <c r="BA1" s="849"/>
      <c r="BB1" s="849"/>
      <c r="BC1" s="849"/>
      <c r="BD1" s="849"/>
      <c r="BE1" s="849"/>
      <c r="BF1" s="849"/>
      <c r="BG1" s="849"/>
      <c r="BH1" s="849"/>
      <c r="BI1" s="849"/>
      <c r="BJ1" s="849"/>
      <c r="BK1" s="849"/>
      <c r="BL1" s="849"/>
      <c r="BM1" s="849"/>
      <c r="BN1" s="849"/>
      <c r="BO1" s="849"/>
      <c r="BP1" s="849"/>
      <c r="BQ1" s="849"/>
      <c r="BR1" s="849"/>
      <c r="BS1" s="849"/>
      <c r="BT1" s="849"/>
      <c r="BU1" s="849"/>
      <c r="BV1" s="849"/>
      <c r="BW1" s="849"/>
      <c r="BX1" s="849"/>
      <c r="BY1" s="849"/>
      <c r="BZ1" s="849"/>
      <c r="CA1" s="849"/>
      <c r="CB1" s="849"/>
      <c r="CC1" s="849"/>
      <c r="CD1" s="849"/>
      <c r="CE1" s="849"/>
      <c r="CF1" s="849"/>
      <c r="CG1" s="849"/>
      <c r="CH1" s="849"/>
      <c r="CI1" s="849"/>
      <c r="CJ1" s="849"/>
      <c r="CK1" s="849"/>
      <c r="CL1" s="849"/>
      <c r="CM1" s="849"/>
      <c r="CN1" s="849"/>
      <c r="CO1" s="849"/>
      <c r="CP1" s="849"/>
      <c r="CQ1" s="849"/>
      <c r="CR1" s="849"/>
      <c r="CS1" s="849"/>
      <c r="CT1" s="849"/>
      <c r="CU1" s="849"/>
      <c r="CV1" s="849"/>
      <c r="CW1" s="849"/>
      <c r="CX1" s="849"/>
      <c r="CY1" s="849"/>
      <c r="CZ1" s="849"/>
      <c r="DA1" s="849"/>
      <c r="DB1" s="849"/>
      <c r="DC1" s="849"/>
      <c r="DD1" s="849"/>
      <c r="DE1" s="849"/>
      <c r="DF1" s="849"/>
      <c r="DG1" s="849"/>
      <c r="DH1" s="849"/>
      <c r="DI1" s="849"/>
      <c r="DJ1" s="849"/>
      <c r="DK1" s="849"/>
      <c r="DL1" s="849"/>
      <c r="DM1" s="849"/>
      <c r="DN1" s="849"/>
      <c r="DO1" s="849"/>
      <c r="DP1" s="849"/>
      <c r="DQ1" s="849"/>
      <c r="DR1" s="849"/>
      <c r="DS1" s="849"/>
      <c r="DT1" s="849"/>
      <c r="DU1" s="849"/>
      <c r="DV1" s="849"/>
      <c r="DW1" s="849"/>
      <c r="DX1" s="849"/>
      <c r="DY1" s="849"/>
      <c r="DZ1" s="849"/>
      <c r="EA1" s="849"/>
      <c r="EB1" s="849"/>
      <c r="EC1" s="849"/>
      <c r="ED1" s="849"/>
      <c r="EE1" s="849"/>
      <c r="EF1" s="849"/>
      <c r="EG1" s="849"/>
      <c r="EH1" s="849"/>
      <c r="EI1" s="849"/>
      <c r="EJ1" s="849"/>
      <c r="EK1" s="849"/>
      <c r="EL1" s="849"/>
      <c r="EM1" s="849"/>
      <c r="EN1" s="849"/>
      <c r="EO1" s="849"/>
      <c r="EP1" s="849"/>
      <c r="EQ1" s="849"/>
      <c r="ER1" s="849"/>
      <c r="ES1" s="849"/>
      <c r="ET1" s="849"/>
      <c r="EU1" s="849"/>
      <c r="EV1" s="849"/>
      <c r="EW1" s="849"/>
      <c r="EX1" s="849"/>
      <c r="EY1" s="849"/>
      <c r="EZ1" s="849"/>
      <c r="FA1" s="849"/>
      <c r="FB1" s="849"/>
      <c r="FC1" s="849"/>
      <c r="FD1" s="849"/>
      <c r="FE1" s="849"/>
      <c r="FF1" s="849"/>
      <c r="FG1" s="849"/>
      <c r="FH1" s="849"/>
      <c r="FI1" s="849"/>
      <c r="FJ1" s="849"/>
      <c r="FK1" s="849"/>
      <c r="FL1" s="849"/>
      <c r="FM1" s="849"/>
      <c r="FN1" s="849"/>
      <c r="FO1" s="849"/>
      <c r="FP1" s="849"/>
      <c r="FQ1" s="849"/>
      <c r="FR1" s="849"/>
      <c r="FS1" s="849"/>
      <c r="FT1" s="849"/>
      <c r="FU1" s="849"/>
      <c r="FV1" s="849"/>
      <c r="FW1" s="849"/>
      <c r="FX1" s="849"/>
      <c r="FY1" s="849"/>
      <c r="FZ1" s="849"/>
      <c r="GA1" s="849"/>
      <c r="GB1" s="849"/>
      <c r="GC1" s="849"/>
      <c r="GD1" s="849"/>
      <c r="GE1" s="849"/>
      <c r="GF1" s="849"/>
      <c r="GG1" s="849"/>
      <c r="GH1" s="849"/>
      <c r="GI1" s="849"/>
      <c r="GJ1" s="849"/>
      <c r="GK1" s="849"/>
      <c r="GL1" s="849"/>
      <c r="GM1" s="849"/>
      <c r="GN1" s="849"/>
      <c r="GO1" s="849"/>
      <c r="GP1" s="849"/>
      <c r="GQ1" s="849"/>
      <c r="GR1" s="849"/>
      <c r="GS1" s="849"/>
      <c r="GT1" s="849"/>
      <c r="GU1" s="849"/>
      <c r="GV1" s="849"/>
      <c r="GW1" s="849"/>
      <c r="GX1" s="849"/>
      <c r="GY1" s="849"/>
      <c r="GZ1" s="849"/>
      <c r="HA1" s="849"/>
      <c r="HB1" s="849"/>
      <c r="HC1" s="849"/>
      <c r="HD1" s="849"/>
      <c r="HE1" s="849"/>
      <c r="HF1" s="849"/>
      <c r="HG1" s="849"/>
      <c r="HH1" s="849"/>
      <c r="HI1" s="849"/>
      <c r="HJ1" s="849"/>
      <c r="HK1" s="849"/>
      <c r="HL1" s="849"/>
      <c r="HM1" s="849"/>
      <c r="HN1" s="849"/>
      <c r="HO1" s="849"/>
      <c r="HP1" s="849"/>
      <c r="HQ1" s="849"/>
      <c r="HR1" s="849"/>
      <c r="HS1" s="849"/>
      <c r="HT1" s="849"/>
      <c r="HU1" s="849"/>
      <c r="HV1" s="849"/>
      <c r="HW1" s="849"/>
      <c r="HX1" s="849"/>
      <c r="HY1" s="849"/>
      <c r="HZ1" s="849"/>
      <c r="IA1" s="849"/>
      <c r="IB1" s="849"/>
      <c r="IC1" s="849"/>
      <c r="ID1" s="849"/>
      <c r="IE1" s="849"/>
      <c r="IF1" s="849"/>
      <c r="IG1" s="849"/>
      <c r="IH1" s="849"/>
      <c r="II1" s="849"/>
      <c r="IJ1" s="849"/>
      <c r="IK1" s="849"/>
      <c r="IL1" s="849"/>
      <c r="IM1" s="849"/>
      <c r="IN1" s="849"/>
      <c r="IO1" s="849"/>
      <c r="IP1" s="849"/>
      <c r="IQ1" s="849"/>
      <c r="IR1" s="849"/>
      <c r="IS1" s="849"/>
      <c r="IT1" s="849"/>
    </row>
    <row r="2" spans="1:254" s="723" customFormat="1" ht="14.25" customHeight="1" thickBot="1">
      <c r="A2" s="69"/>
      <c r="B2" s="69"/>
      <c r="C2" s="69"/>
      <c r="D2" s="69"/>
      <c r="E2" s="69"/>
      <c r="F2" s="69"/>
      <c r="G2" s="69"/>
      <c r="H2" s="78"/>
      <c r="I2" s="866"/>
      <c r="J2" s="69"/>
      <c r="K2" s="865"/>
      <c r="L2" s="865"/>
      <c r="M2" s="865"/>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49"/>
      <c r="AR2" s="849"/>
      <c r="AS2" s="849"/>
      <c r="AT2" s="849"/>
      <c r="AU2" s="849"/>
      <c r="AV2" s="849"/>
      <c r="AW2" s="849"/>
      <c r="AX2" s="849"/>
      <c r="AY2" s="849"/>
      <c r="AZ2" s="849"/>
      <c r="BA2" s="849"/>
      <c r="BB2" s="849"/>
      <c r="BC2" s="849"/>
      <c r="BD2" s="849"/>
      <c r="BE2" s="849"/>
      <c r="BF2" s="849"/>
      <c r="BG2" s="849"/>
      <c r="BH2" s="849"/>
      <c r="BI2" s="849"/>
      <c r="BJ2" s="849"/>
      <c r="BK2" s="849"/>
      <c r="BL2" s="849"/>
      <c r="BM2" s="849"/>
      <c r="BN2" s="849"/>
      <c r="BO2" s="849"/>
      <c r="BP2" s="849"/>
      <c r="BQ2" s="849"/>
      <c r="BR2" s="849"/>
      <c r="BS2" s="849"/>
      <c r="BT2" s="849"/>
      <c r="BU2" s="849"/>
      <c r="BV2" s="849"/>
      <c r="BW2" s="849"/>
      <c r="BX2" s="849"/>
      <c r="BY2" s="849"/>
      <c r="BZ2" s="849"/>
      <c r="CA2" s="849"/>
      <c r="CB2" s="849"/>
      <c r="CC2" s="849"/>
      <c r="CD2" s="849"/>
      <c r="CE2" s="849"/>
      <c r="CF2" s="849"/>
      <c r="CG2" s="849"/>
      <c r="CH2" s="849"/>
      <c r="CI2" s="849"/>
      <c r="CJ2" s="849"/>
      <c r="CK2" s="849"/>
      <c r="CL2" s="849"/>
      <c r="CM2" s="849"/>
      <c r="CN2" s="849"/>
      <c r="CO2" s="849"/>
      <c r="CP2" s="849"/>
      <c r="CQ2" s="849"/>
      <c r="CR2" s="849"/>
      <c r="CS2" s="849"/>
      <c r="CT2" s="849"/>
      <c r="CU2" s="849"/>
      <c r="CV2" s="849"/>
      <c r="CW2" s="849"/>
      <c r="CX2" s="849"/>
      <c r="CY2" s="849"/>
      <c r="CZ2" s="849"/>
      <c r="DA2" s="849"/>
      <c r="DB2" s="849"/>
      <c r="DC2" s="849"/>
      <c r="DD2" s="849"/>
      <c r="DE2" s="849"/>
      <c r="DF2" s="849"/>
      <c r="DG2" s="849"/>
      <c r="DH2" s="849"/>
      <c r="DI2" s="849"/>
      <c r="DJ2" s="849"/>
      <c r="DK2" s="849"/>
      <c r="DL2" s="849"/>
      <c r="DM2" s="849"/>
      <c r="DN2" s="849"/>
      <c r="DO2" s="849"/>
      <c r="DP2" s="849"/>
      <c r="DQ2" s="849"/>
      <c r="DR2" s="849"/>
      <c r="DS2" s="849"/>
      <c r="DT2" s="849"/>
      <c r="DU2" s="849"/>
      <c r="DV2" s="849"/>
      <c r="DW2" s="849"/>
      <c r="DX2" s="849"/>
      <c r="DY2" s="849"/>
      <c r="DZ2" s="849"/>
      <c r="EA2" s="849"/>
      <c r="EB2" s="849"/>
      <c r="EC2" s="849"/>
      <c r="ED2" s="849"/>
      <c r="EE2" s="849"/>
      <c r="EF2" s="849"/>
      <c r="EG2" s="849"/>
      <c r="EH2" s="849"/>
      <c r="EI2" s="849"/>
      <c r="EJ2" s="849"/>
      <c r="EK2" s="849"/>
      <c r="EL2" s="849"/>
      <c r="EM2" s="849"/>
      <c r="EN2" s="849"/>
      <c r="EO2" s="849"/>
      <c r="EP2" s="849"/>
      <c r="EQ2" s="849"/>
      <c r="ER2" s="849"/>
      <c r="ES2" s="849"/>
      <c r="ET2" s="849"/>
      <c r="EU2" s="849"/>
      <c r="EV2" s="849"/>
      <c r="EW2" s="849"/>
      <c r="EX2" s="849"/>
      <c r="EY2" s="849"/>
      <c r="EZ2" s="849"/>
      <c r="FA2" s="849"/>
      <c r="FB2" s="849"/>
      <c r="FC2" s="849"/>
      <c r="FD2" s="849"/>
      <c r="FE2" s="849"/>
      <c r="FF2" s="849"/>
      <c r="FG2" s="849"/>
      <c r="FH2" s="849"/>
      <c r="FI2" s="849"/>
      <c r="FJ2" s="849"/>
      <c r="FK2" s="849"/>
      <c r="FL2" s="849"/>
      <c r="FM2" s="849"/>
      <c r="FN2" s="849"/>
      <c r="FO2" s="849"/>
      <c r="FP2" s="849"/>
      <c r="FQ2" s="849"/>
      <c r="FR2" s="849"/>
      <c r="FS2" s="849"/>
      <c r="FT2" s="849"/>
      <c r="FU2" s="849"/>
      <c r="FV2" s="849"/>
      <c r="FW2" s="849"/>
      <c r="FX2" s="849"/>
      <c r="FY2" s="849"/>
      <c r="FZ2" s="849"/>
      <c r="GA2" s="849"/>
      <c r="GB2" s="849"/>
      <c r="GC2" s="849"/>
      <c r="GD2" s="849"/>
      <c r="GE2" s="849"/>
      <c r="GF2" s="849"/>
      <c r="GG2" s="849"/>
      <c r="GH2" s="849"/>
      <c r="GI2" s="849"/>
      <c r="GJ2" s="849"/>
      <c r="GK2" s="849"/>
      <c r="GL2" s="849"/>
      <c r="GM2" s="849"/>
      <c r="GN2" s="849"/>
      <c r="GO2" s="849"/>
      <c r="GP2" s="849"/>
      <c r="GQ2" s="849"/>
      <c r="GR2" s="849"/>
      <c r="GS2" s="849"/>
      <c r="GT2" s="849"/>
      <c r="GU2" s="849"/>
      <c r="GV2" s="849"/>
      <c r="GW2" s="849"/>
      <c r="GX2" s="849"/>
      <c r="GY2" s="849"/>
      <c r="GZ2" s="849"/>
      <c r="HA2" s="849"/>
      <c r="HB2" s="849"/>
      <c r="HC2" s="849"/>
      <c r="HD2" s="849"/>
      <c r="HE2" s="849"/>
      <c r="HF2" s="849"/>
      <c r="HG2" s="849"/>
      <c r="HH2" s="849"/>
      <c r="HI2" s="849"/>
      <c r="HJ2" s="849"/>
      <c r="HK2" s="849"/>
      <c r="HL2" s="849"/>
      <c r="HM2" s="849"/>
      <c r="HN2" s="849"/>
      <c r="HO2" s="849"/>
      <c r="HP2" s="849"/>
      <c r="HQ2" s="849"/>
      <c r="HR2" s="849"/>
      <c r="HS2" s="849"/>
      <c r="HT2" s="849"/>
      <c r="HU2" s="849"/>
      <c r="HV2" s="849"/>
      <c r="HW2" s="849"/>
      <c r="HX2" s="849"/>
      <c r="HY2" s="849"/>
      <c r="HZ2" s="849"/>
      <c r="IA2" s="849"/>
      <c r="IB2" s="849"/>
      <c r="IC2" s="849"/>
      <c r="ID2" s="849"/>
      <c r="IE2" s="849"/>
      <c r="IF2" s="849"/>
      <c r="IG2" s="849"/>
      <c r="IH2" s="849"/>
      <c r="II2" s="849"/>
      <c r="IJ2" s="849"/>
      <c r="IK2" s="849"/>
      <c r="IL2" s="849"/>
      <c r="IM2" s="849"/>
      <c r="IN2" s="849"/>
      <c r="IO2" s="849"/>
      <c r="IP2" s="849"/>
      <c r="IQ2" s="849"/>
      <c r="IR2" s="849"/>
      <c r="IS2" s="849"/>
      <c r="IT2" s="849"/>
    </row>
    <row r="3" spans="1:254" s="857" customFormat="1" ht="15" customHeight="1" thickBot="1">
      <c r="A3" s="2205" t="s">
        <v>491</v>
      </c>
      <c r="B3" s="2479"/>
      <c r="C3" s="2206"/>
      <c r="D3" s="2480" t="str">
        <f>IF('LFA_Programmatic Progress_1A'!C3=0,"",'LFA_Programmatic Progress_1A'!C3)</f>
        <v>UNOPS/LFA-BHUTAN</v>
      </c>
      <c r="E3" s="2481"/>
      <c r="F3" s="2481"/>
      <c r="G3" s="2482"/>
      <c r="H3" s="859"/>
      <c r="I3" s="63"/>
      <c r="J3" s="63"/>
      <c r="K3" s="864"/>
      <c r="L3" s="858"/>
      <c r="M3" s="858"/>
      <c r="N3" s="858"/>
      <c r="O3" s="858"/>
      <c r="P3" s="858"/>
      <c r="Q3" s="858"/>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49"/>
      <c r="AR3" s="849"/>
      <c r="AS3" s="849"/>
      <c r="AT3" s="849"/>
      <c r="AU3" s="849"/>
      <c r="AV3" s="849"/>
      <c r="AW3" s="849"/>
      <c r="AX3" s="849"/>
      <c r="AY3" s="849"/>
      <c r="AZ3" s="849"/>
      <c r="BA3" s="849"/>
      <c r="BB3" s="849"/>
      <c r="BC3" s="849"/>
      <c r="BD3" s="849"/>
      <c r="BE3" s="849"/>
      <c r="BF3" s="849"/>
      <c r="BG3" s="849"/>
      <c r="BH3" s="849"/>
      <c r="BI3" s="849"/>
      <c r="BJ3" s="849"/>
      <c r="BK3" s="849"/>
      <c r="BL3" s="849"/>
      <c r="BM3" s="849"/>
      <c r="BN3" s="849"/>
      <c r="BO3" s="849"/>
      <c r="BP3" s="849"/>
      <c r="BQ3" s="849"/>
      <c r="BR3" s="849"/>
      <c r="BS3" s="849"/>
      <c r="BT3" s="849"/>
      <c r="BU3" s="849"/>
      <c r="BV3" s="849"/>
      <c r="BW3" s="849"/>
      <c r="BX3" s="849"/>
      <c r="BY3" s="849"/>
      <c r="BZ3" s="849"/>
      <c r="CA3" s="849"/>
      <c r="CB3" s="849"/>
      <c r="CC3" s="849"/>
      <c r="CD3" s="849"/>
      <c r="CE3" s="849"/>
      <c r="CF3" s="849"/>
      <c r="CG3" s="849"/>
      <c r="CH3" s="849"/>
      <c r="CI3" s="849"/>
      <c r="CJ3" s="849"/>
      <c r="CK3" s="849"/>
      <c r="CL3" s="849"/>
      <c r="CM3" s="849"/>
      <c r="CN3" s="849"/>
      <c r="CO3" s="849"/>
      <c r="CP3" s="849"/>
      <c r="CQ3" s="849"/>
      <c r="CR3" s="849"/>
      <c r="CS3" s="849"/>
      <c r="CT3" s="849"/>
      <c r="CU3" s="849"/>
      <c r="CV3" s="849"/>
      <c r="CW3" s="849"/>
      <c r="CX3" s="849"/>
      <c r="CY3" s="849"/>
      <c r="CZ3" s="849"/>
      <c r="DA3" s="849"/>
      <c r="DB3" s="849"/>
      <c r="DC3" s="849"/>
      <c r="DD3" s="849"/>
      <c r="DE3" s="849"/>
      <c r="DF3" s="849"/>
      <c r="DG3" s="849"/>
      <c r="DH3" s="849"/>
      <c r="DI3" s="849"/>
      <c r="DJ3" s="849"/>
      <c r="DK3" s="849"/>
      <c r="DL3" s="849"/>
      <c r="DM3" s="849"/>
      <c r="DN3" s="849"/>
      <c r="DO3" s="849"/>
      <c r="DP3" s="849"/>
      <c r="DQ3" s="849"/>
      <c r="DR3" s="849"/>
      <c r="DS3" s="849"/>
      <c r="DT3" s="849"/>
      <c r="DU3" s="849"/>
      <c r="DV3" s="849"/>
      <c r="DW3" s="849"/>
      <c r="DX3" s="849"/>
      <c r="DY3" s="849"/>
      <c r="DZ3" s="849"/>
      <c r="EA3" s="849"/>
      <c r="EB3" s="849"/>
      <c r="EC3" s="849"/>
      <c r="ED3" s="849"/>
      <c r="EE3" s="849"/>
      <c r="EF3" s="849"/>
      <c r="EG3" s="849"/>
      <c r="EH3" s="849"/>
      <c r="EI3" s="849"/>
      <c r="EJ3" s="849"/>
      <c r="EK3" s="849"/>
      <c r="EL3" s="849"/>
      <c r="EM3" s="849"/>
      <c r="EN3" s="849"/>
      <c r="EO3" s="849"/>
      <c r="EP3" s="849"/>
      <c r="EQ3" s="849"/>
      <c r="ER3" s="849"/>
      <c r="ES3" s="849"/>
      <c r="ET3" s="849"/>
      <c r="EU3" s="849"/>
      <c r="EV3" s="849"/>
      <c r="EW3" s="849"/>
      <c r="EX3" s="849"/>
      <c r="EY3" s="849"/>
      <c r="EZ3" s="849"/>
      <c r="FA3" s="849"/>
      <c r="FB3" s="849"/>
      <c r="FC3" s="849"/>
      <c r="FD3" s="849"/>
      <c r="FE3" s="849"/>
      <c r="FF3" s="849"/>
      <c r="FG3" s="849"/>
      <c r="FH3" s="849"/>
      <c r="FI3" s="849"/>
      <c r="FJ3" s="849"/>
      <c r="FK3" s="849"/>
      <c r="FL3" s="849"/>
      <c r="FM3" s="849"/>
      <c r="FN3" s="849"/>
      <c r="FO3" s="849"/>
      <c r="FP3" s="849"/>
      <c r="FQ3" s="849"/>
      <c r="FR3" s="849"/>
      <c r="FS3" s="849"/>
      <c r="FT3" s="849"/>
      <c r="FU3" s="849"/>
      <c r="FV3" s="849"/>
      <c r="FW3" s="849"/>
      <c r="FX3" s="849"/>
      <c r="FY3" s="849"/>
      <c r="FZ3" s="849"/>
      <c r="GA3" s="849"/>
      <c r="GB3" s="849"/>
      <c r="GC3" s="849"/>
      <c r="GD3" s="849"/>
      <c r="GE3" s="849"/>
      <c r="GF3" s="849"/>
      <c r="GG3" s="849"/>
      <c r="GH3" s="849"/>
      <c r="GI3" s="849"/>
      <c r="GJ3" s="849"/>
      <c r="GK3" s="849"/>
      <c r="GL3" s="849"/>
      <c r="GM3" s="849"/>
      <c r="GN3" s="849"/>
      <c r="GO3" s="849"/>
      <c r="GP3" s="849"/>
      <c r="GQ3" s="849"/>
      <c r="GR3" s="849"/>
      <c r="GS3" s="849"/>
      <c r="GT3" s="849"/>
      <c r="GU3" s="849"/>
      <c r="GV3" s="849"/>
      <c r="GW3" s="849"/>
      <c r="GX3" s="849"/>
      <c r="GY3" s="849"/>
      <c r="GZ3" s="849"/>
      <c r="HA3" s="849"/>
      <c r="HB3" s="849"/>
      <c r="HC3" s="849"/>
      <c r="HD3" s="849"/>
      <c r="HE3" s="849"/>
      <c r="HF3" s="849"/>
      <c r="HG3" s="849"/>
      <c r="HH3" s="849"/>
      <c r="HI3" s="849"/>
      <c r="HJ3" s="849"/>
      <c r="HK3" s="849"/>
      <c r="HL3" s="849"/>
      <c r="HM3" s="849"/>
      <c r="HN3" s="849"/>
      <c r="HO3" s="849"/>
      <c r="HP3" s="849"/>
      <c r="HQ3" s="849"/>
      <c r="HR3" s="849"/>
      <c r="HS3" s="849"/>
      <c r="HT3" s="849"/>
      <c r="HU3" s="849"/>
      <c r="HV3" s="849"/>
      <c r="HW3" s="849"/>
      <c r="HX3" s="849"/>
      <c r="HY3" s="849"/>
      <c r="HZ3" s="849"/>
      <c r="IA3" s="849"/>
      <c r="IB3" s="849"/>
      <c r="IC3" s="849"/>
      <c r="ID3" s="849"/>
      <c r="IE3" s="849"/>
      <c r="IF3" s="849"/>
      <c r="IG3" s="849"/>
      <c r="IH3" s="849"/>
      <c r="II3" s="849"/>
      <c r="IJ3" s="849"/>
      <c r="IK3" s="849"/>
      <c r="IL3" s="849"/>
      <c r="IM3" s="849"/>
      <c r="IN3" s="849"/>
      <c r="IO3" s="849"/>
      <c r="IP3" s="849"/>
      <c r="IQ3" s="849"/>
      <c r="IR3" s="849"/>
      <c r="IS3" s="849"/>
      <c r="IT3" s="849"/>
    </row>
    <row r="4" spans="1:254" s="857" customFormat="1" ht="27.75" customHeight="1" thickBot="1">
      <c r="A4" s="99" t="s">
        <v>506</v>
      </c>
      <c r="B4" s="861"/>
      <c r="C4" s="861"/>
      <c r="D4" s="1012"/>
      <c r="E4" s="1012"/>
      <c r="F4" s="1012"/>
      <c r="G4" s="1012"/>
      <c r="H4" s="861"/>
      <c r="I4" s="861"/>
      <c r="J4" s="861"/>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723"/>
      <c r="BA4" s="723"/>
      <c r="BB4" s="723"/>
      <c r="BC4" s="723"/>
      <c r="BD4" s="723"/>
      <c r="BE4" s="723"/>
      <c r="BF4" s="723"/>
      <c r="BG4" s="723"/>
      <c r="BH4" s="723"/>
      <c r="BI4" s="723"/>
      <c r="BJ4" s="723"/>
      <c r="BK4" s="723"/>
      <c r="BL4" s="723"/>
      <c r="BM4" s="723"/>
      <c r="BN4" s="723"/>
      <c r="BO4" s="723"/>
      <c r="BP4" s="723"/>
      <c r="BQ4" s="723"/>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723"/>
      <c r="EB4" s="723"/>
      <c r="EC4" s="723"/>
      <c r="ED4" s="723"/>
      <c r="EE4" s="723"/>
      <c r="EF4" s="723"/>
      <c r="EG4" s="723"/>
      <c r="EH4" s="723"/>
      <c r="EI4" s="723"/>
      <c r="EJ4" s="723"/>
      <c r="EK4" s="723"/>
      <c r="EL4" s="723"/>
      <c r="EM4" s="723"/>
      <c r="EN4" s="723"/>
      <c r="EO4" s="723"/>
      <c r="EP4" s="723"/>
      <c r="EQ4" s="723"/>
      <c r="ER4" s="723"/>
      <c r="ES4" s="723"/>
      <c r="ET4" s="723"/>
      <c r="EU4" s="723"/>
      <c r="EV4" s="723"/>
      <c r="EW4" s="723"/>
      <c r="EX4" s="723"/>
      <c r="EY4" s="723"/>
      <c r="EZ4" s="723"/>
      <c r="FA4" s="723"/>
      <c r="FB4" s="723"/>
      <c r="FC4" s="723"/>
      <c r="FD4" s="723"/>
      <c r="FE4" s="723"/>
      <c r="FF4" s="723"/>
      <c r="FG4" s="723"/>
      <c r="FH4" s="723"/>
      <c r="FI4" s="723"/>
      <c r="FJ4" s="723"/>
      <c r="FK4" s="723"/>
      <c r="FL4" s="723"/>
      <c r="FM4" s="723"/>
      <c r="FN4" s="723"/>
      <c r="FO4" s="723"/>
      <c r="FP4" s="723"/>
      <c r="FQ4" s="723"/>
      <c r="FR4" s="723"/>
      <c r="FS4" s="723"/>
      <c r="FT4" s="723"/>
      <c r="FU4" s="723"/>
      <c r="FV4" s="723"/>
      <c r="FW4" s="723"/>
      <c r="FX4" s="723"/>
      <c r="FY4" s="723"/>
      <c r="FZ4" s="723"/>
      <c r="GA4" s="723"/>
      <c r="GB4" s="723"/>
      <c r="GC4" s="723"/>
      <c r="GD4" s="723"/>
      <c r="GE4" s="723"/>
      <c r="GF4" s="723"/>
      <c r="GG4" s="723"/>
      <c r="GH4" s="723"/>
      <c r="GI4" s="723"/>
      <c r="GJ4" s="723"/>
      <c r="GK4" s="723"/>
      <c r="GL4" s="723"/>
      <c r="GM4" s="723"/>
      <c r="GN4" s="723"/>
      <c r="GO4" s="723"/>
      <c r="GP4" s="723"/>
      <c r="GQ4" s="723"/>
      <c r="GR4" s="723"/>
      <c r="GS4" s="723"/>
      <c r="GT4" s="723"/>
      <c r="GU4" s="723"/>
      <c r="GV4" s="723"/>
      <c r="GW4" s="723"/>
      <c r="GX4" s="723"/>
      <c r="GY4" s="723"/>
      <c r="GZ4" s="723"/>
      <c r="HA4" s="723"/>
      <c r="HB4" s="723"/>
      <c r="HC4" s="723"/>
      <c r="HD4" s="723"/>
      <c r="HE4" s="723"/>
      <c r="HF4" s="723"/>
      <c r="HG4" s="723"/>
      <c r="HH4" s="723"/>
      <c r="HI4" s="723"/>
      <c r="HJ4" s="723"/>
      <c r="HK4" s="723"/>
      <c r="HL4" s="723"/>
      <c r="HM4" s="723"/>
      <c r="HN4" s="723"/>
      <c r="HO4" s="723"/>
      <c r="HP4" s="723"/>
      <c r="HQ4" s="723"/>
      <c r="HR4" s="723"/>
      <c r="HS4" s="723"/>
      <c r="HT4" s="723"/>
      <c r="HU4" s="723"/>
      <c r="HV4" s="723"/>
      <c r="HW4" s="723"/>
      <c r="HX4" s="723"/>
      <c r="HY4" s="723"/>
      <c r="HZ4" s="723"/>
      <c r="IA4" s="723"/>
      <c r="IB4" s="723"/>
      <c r="IC4" s="723"/>
      <c r="ID4" s="723"/>
      <c r="IE4" s="723"/>
      <c r="IF4" s="723"/>
      <c r="IG4" s="723"/>
      <c r="IH4" s="723"/>
      <c r="II4" s="723"/>
      <c r="IJ4" s="723"/>
      <c r="IK4" s="723"/>
      <c r="IL4" s="723"/>
      <c r="IM4" s="723"/>
      <c r="IN4" s="723"/>
      <c r="IO4" s="723"/>
      <c r="IP4" s="723"/>
      <c r="IQ4" s="723"/>
      <c r="IR4" s="723"/>
    </row>
    <row r="5" spans="1:254" s="857" customFormat="1" ht="15" customHeight="1">
      <c r="A5" s="1787" t="s">
        <v>420</v>
      </c>
      <c r="B5" s="1815"/>
      <c r="C5" s="1788"/>
      <c r="D5" s="2483" t="str">
        <f>IF('PR_Programmatic Progress_1A'!C5="","",'PR_Programmatic Progress_1A'!C5)</f>
        <v>Bhutan</v>
      </c>
      <c r="E5" s="2484"/>
      <c r="F5" s="2484"/>
      <c r="G5" s="2485"/>
      <c r="H5" s="859"/>
      <c r="I5" s="63"/>
      <c r="J5" s="63"/>
      <c r="K5" s="864"/>
      <c r="L5" s="858"/>
      <c r="M5" s="858"/>
      <c r="N5" s="858"/>
      <c r="O5" s="858"/>
      <c r="P5" s="858"/>
      <c r="Q5" s="858"/>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849"/>
      <c r="BB5" s="849"/>
      <c r="BC5" s="849"/>
      <c r="BD5" s="849"/>
      <c r="BE5" s="849"/>
      <c r="BF5" s="849"/>
      <c r="BG5" s="849"/>
      <c r="BH5" s="849"/>
      <c r="BI5" s="849"/>
      <c r="BJ5" s="849"/>
      <c r="BK5" s="849"/>
      <c r="BL5" s="849"/>
      <c r="BM5" s="849"/>
      <c r="BN5" s="849"/>
      <c r="BO5" s="849"/>
      <c r="BP5" s="849"/>
      <c r="BQ5" s="849"/>
      <c r="BR5" s="849"/>
      <c r="BS5" s="849"/>
      <c r="BT5" s="849"/>
      <c r="BU5" s="849"/>
      <c r="BV5" s="849"/>
      <c r="BW5" s="849"/>
      <c r="BX5" s="849"/>
      <c r="BY5" s="849"/>
      <c r="BZ5" s="849"/>
      <c r="CA5" s="849"/>
      <c r="CB5" s="849"/>
      <c r="CC5" s="849"/>
      <c r="CD5" s="849"/>
      <c r="CE5" s="849"/>
      <c r="CF5" s="849"/>
      <c r="CG5" s="849"/>
      <c r="CH5" s="849"/>
      <c r="CI5" s="849"/>
      <c r="CJ5" s="849"/>
      <c r="CK5" s="849"/>
      <c r="CL5" s="849"/>
      <c r="CM5" s="849"/>
      <c r="CN5" s="849"/>
      <c r="CO5" s="849"/>
      <c r="CP5" s="849"/>
      <c r="CQ5" s="849"/>
      <c r="CR5" s="849"/>
      <c r="CS5" s="849"/>
      <c r="CT5" s="849"/>
      <c r="CU5" s="849"/>
      <c r="CV5" s="849"/>
      <c r="CW5" s="849"/>
      <c r="CX5" s="849"/>
      <c r="CY5" s="849"/>
      <c r="CZ5" s="849"/>
      <c r="DA5" s="849"/>
      <c r="DB5" s="849"/>
      <c r="DC5" s="849"/>
      <c r="DD5" s="849"/>
      <c r="DE5" s="849"/>
      <c r="DF5" s="849"/>
      <c r="DG5" s="849"/>
      <c r="DH5" s="849"/>
      <c r="DI5" s="849"/>
      <c r="DJ5" s="849"/>
      <c r="DK5" s="849"/>
      <c r="DL5" s="849"/>
      <c r="DM5" s="849"/>
      <c r="DN5" s="849"/>
      <c r="DO5" s="849"/>
      <c r="DP5" s="849"/>
      <c r="DQ5" s="849"/>
      <c r="DR5" s="849"/>
      <c r="DS5" s="849"/>
      <c r="DT5" s="849"/>
      <c r="DU5" s="849"/>
      <c r="DV5" s="849"/>
      <c r="DW5" s="849"/>
      <c r="DX5" s="849"/>
      <c r="DY5" s="849"/>
      <c r="DZ5" s="849"/>
      <c r="EA5" s="849"/>
      <c r="EB5" s="849"/>
      <c r="EC5" s="849"/>
      <c r="ED5" s="849"/>
      <c r="EE5" s="849"/>
      <c r="EF5" s="849"/>
      <c r="EG5" s="849"/>
      <c r="EH5" s="849"/>
      <c r="EI5" s="849"/>
      <c r="EJ5" s="849"/>
      <c r="EK5" s="849"/>
      <c r="EL5" s="849"/>
      <c r="EM5" s="849"/>
      <c r="EN5" s="849"/>
      <c r="EO5" s="849"/>
      <c r="EP5" s="849"/>
      <c r="EQ5" s="849"/>
      <c r="ER5" s="849"/>
      <c r="ES5" s="849"/>
      <c r="ET5" s="849"/>
      <c r="EU5" s="849"/>
      <c r="EV5" s="849"/>
      <c r="EW5" s="849"/>
      <c r="EX5" s="849"/>
      <c r="EY5" s="849"/>
      <c r="EZ5" s="849"/>
      <c r="FA5" s="849"/>
      <c r="FB5" s="849"/>
      <c r="FC5" s="849"/>
      <c r="FD5" s="849"/>
      <c r="FE5" s="849"/>
      <c r="FF5" s="849"/>
      <c r="FG5" s="849"/>
      <c r="FH5" s="849"/>
      <c r="FI5" s="849"/>
      <c r="FJ5" s="849"/>
      <c r="FK5" s="849"/>
      <c r="FL5" s="849"/>
      <c r="FM5" s="849"/>
      <c r="FN5" s="849"/>
      <c r="FO5" s="849"/>
      <c r="FP5" s="849"/>
      <c r="FQ5" s="849"/>
      <c r="FR5" s="849"/>
      <c r="FS5" s="849"/>
      <c r="FT5" s="849"/>
      <c r="FU5" s="849"/>
      <c r="FV5" s="849"/>
      <c r="FW5" s="849"/>
      <c r="FX5" s="849"/>
      <c r="FY5" s="849"/>
      <c r="FZ5" s="849"/>
      <c r="GA5" s="849"/>
      <c r="GB5" s="849"/>
      <c r="GC5" s="849"/>
      <c r="GD5" s="849"/>
      <c r="GE5" s="849"/>
      <c r="GF5" s="849"/>
      <c r="GG5" s="849"/>
      <c r="GH5" s="849"/>
      <c r="GI5" s="849"/>
      <c r="GJ5" s="849"/>
      <c r="GK5" s="849"/>
      <c r="GL5" s="849"/>
      <c r="GM5" s="849"/>
      <c r="GN5" s="849"/>
      <c r="GO5" s="849"/>
      <c r="GP5" s="849"/>
      <c r="GQ5" s="849"/>
      <c r="GR5" s="849"/>
      <c r="GS5" s="849"/>
      <c r="GT5" s="849"/>
      <c r="GU5" s="849"/>
      <c r="GV5" s="849"/>
      <c r="GW5" s="849"/>
      <c r="GX5" s="849"/>
      <c r="GY5" s="849"/>
      <c r="GZ5" s="849"/>
      <c r="HA5" s="849"/>
      <c r="HB5" s="849"/>
      <c r="HC5" s="849"/>
      <c r="HD5" s="849"/>
      <c r="HE5" s="849"/>
      <c r="HF5" s="849"/>
      <c r="HG5" s="849"/>
      <c r="HH5" s="849"/>
      <c r="HI5" s="849"/>
      <c r="HJ5" s="849"/>
      <c r="HK5" s="849"/>
      <c r="HL5" s="849"/>
      <c r="HM5" s="849"/>
      <c r="HN5" s="849"/>
      <c r="HO5" s="849"/>
      <c r="HP5" s="849"/>
      <c r="HQ5" s="849"/>
      <c r="HR5" s="849"/>
      <c r="HS5" s="849"/>
      <c r="HT5" s="849"/>
      <c r="HU5" s="849"/>
      <c r="HV5" s="849"/>
      <c r="HW5" s="849"/>
      <c r="HX5" s="849"/>
      <c r="HY5" s="849"/>
      <c r="HZ5" s="849"/>
      <c r="IA5" s="849"/>
      <c r="IB5" s="849"/>
      <c r="IC5" s="849"/>
      <c r="ID5" s="849"/>
      <c r="IE5" s="849"/>
      <c r="IF5" s="849"/>
      <c r="IG5" s="849"/>
      <c r="IH5" s="849"/>
      <c r="II5" s="849"/>
      <c r="IJ5" s="849"/>
      <c r="IK5" s="849"/>
      <c r="IL5" s="849"/>
      <c r="IM5" s="849"/>
      <c r="IN5" s="849"/>
      <c r="IO5" s="849"/>
      <c r="IP5" s="849"/>
      <c r="IQ5" s="849"/>
      <c r="IR5" s="849"/>
      <c r="IS5" s="849"/>
      <c r="IT5" s="849"/>
    </row>
    <row r="6" spans="1:254" s="857" customFormat="1" ht="15" customHeight="1">
      <c r="A6" s="1795" t="s">
        <v>421</v>
      </c>
      <c r="B6" s="2253"/>
      <c r="C6" s="1796"/>
      <c r="D6" s="2476" t="str">
        <f>IF('PR_Programmatic Progress_1A'!C6="","",'PR_Programmatic Progress_1A'!C6)</f>
        <v>HIV/AIDS</v>
      </c>
      <c r="E6" s="2477"/>
      <c r="F6" s="2477"/>
      <c r="G6" s="2478"/>
      <c r="H6" s="859"/>
      <c r="I6" s="63"/>
      <c r="J6" s="63"/>
      <c r="K6" s="858"/>
      <c r="L6" s="858"/>
      <c r="M6" s="858"/>
      <c r="N6" s="858"/>
      <c r="O6" s="858"/>
      <c r="P6" s="858"/>
      <c r="Q6" s="858"/>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49"/>
      <c r="AY6" s="849"/>
      <c r="AZ6" s="849"/>
      <c r="BA6" s="849"/>
      <c r="BB6" s="849"/>
      <c r="BC6" s="849"/>
      <c r="BD6" s="849"/>
      <c r="BE6" s="849"/>
      <c r="BF6" s="849"/>
      <c r="BG6" s="849"/>
      <c r="BH6" s="849"/>
      <c r="BI6" s="849"/>
      <c r="BJ6" s="849"/>
      <c r="BK6" s="849"/>
      <c r="BL6" s="849"/>
      <c r="BM6" s="849"/>
      <c r="BN6" s="849"/>
      <c r="BO6" s="849"/>
      <c r="BP6" s="849"/>
      <c r="BQ6" s="849"/>
      <c r="BR6" s="849"/>
      <c r="BS6" s="849"/>
      <c r="BT6" s="849"/>
      <c r="BU6" s="849"/>
      <c r="BV6" s="849"/>
      <c r="BW6" s="849"/>
      <c r="BX6" s="849"/>
      <c r="BY6" s="849"/>
      <c r="BZ6" s="849"/>
      <c r="CA6" s="849"/>
      <c r="CB6" s="849"/>
      <c r="CC6" s="849"/>
      <c r="CD6" s="849"/>
      <c r="CE6" s="849"/>
      <c r="CF6" s="849"/>
      <c r="CG6" s="849"/>
      <c r="CH6" s="849"/>
      <c r="CI6" s="849"/>
      <c r="CJ6" s="849"/>
      <c r="CK6" s="849"/>
      <c r="CL6" s="849"/>
      <c r="CM6" s="849"/>
      <c r="CN6" s="849"/>
      <c r="CO6" s="849"/>
      <c r="CP6" s="849"/>
      <c r="CQ6" s="849"/>
      <c r="CR6" s="849"/>
      <c r="CS6" s="849"/>
      <c r="CT6" s="849"/>
      <c r="CU6" s="849"/>
      <c r="CV6" s="849"/>
      <c r="CW6" s="849"/>
      <c r="CX6" s="849"/>
      <c r="CY6" s="849"/>
      <c r="CZ6" s="849"/>
      <c r="DA6" s="849"/>
      <c r="DB6" s="849"/>
      <c r="DC6" s="849"/>
      <c r="DD6" s="849"/>
      <c r="DE6" s="849"/>
      <c r="DF6" s="849"/>
      <c r="DG6" s="849"/>
      <c r="DH6" s="849"/>
      <c r="DI6" s="849"/>
      <c r="DJ6" s="849"/>
      <c r="DK6" s="849"/>
      <c r="DL6" s="849"/>
      <c r="DM6" s="849"/>
      <c r="DN6" s="849"/>
      <c r="DO6" s="849"/>
      <c r="DP6" s="849"/>
      <c r="DQ6" s="849"/>
      <c r="DR6" s="849"/>
      <c r="DS6" s="849"/>
      <c r="DT6" s="849"/>
      <c r="DU6" s="849"/>
      <c r="DV6" s="849"/>
      <c r="DW6" s="849"/>
      <c r="DX6" s="849"/>
      <c r="DY6" s="849"/>
      <c r="DZ6" s="849"/>
      <c r="EA6" s="849"/>
      <c r="EB6" s="849"/>
      <c r="EC6" s="849"/>
      <c r="ED6" s="849"/>
      <c r="EE6" s="849"/>
      <c r="EF6" s="849"/>
      <c r="EG6" s="849"/>
      <c r="EH6" s="849"/>
      <c r="EI6" s="849"/>
      <c r="EJ6" s="849"/>
      <c r="EK6" s="849"/>
      <c r="EL6" s="849"/>
      <c r="EM6" s="849"/>
      <c r="EN6" s="849"/>
      <c r="EO6" s="849"/>
      <c r="EP6" s="849"/>
      <c r="EQ6" s="849"/>
      <c r="ER6" s="849"/>
      <c r="ES6" s="849"/>
      <c r="ET6" s="849"/>
      <c r="EU6" s="849"/>
      <c r="EV6" s="849"/>
      <c r="EW6" s="849"/>
      <c r="EX6" s="849"/>
      <c r="EY6" s="849"/>
      <c r="EZ6" s="849"/>
      <c r="FA6" s="849"/>
      <c r="FB6" s="849"/>
      <c r="FC6" s="849"/>
      <c r="FD6" s="849"/>
      <c r="FE6" s="849"/>
      <c r="FF6" s="849"/>
      <c r="FG6" s="849"/>
      <c r="FH6" s="849"/>
      <c r="FI6" s="849"/>
      <c r="FJ6" s="849"/>
      <c r="FK6" s="849"/>
      <c r="FL6" s="849"/>
      <c r="FM6" s="849"/>
      <c r="FN6" s="849"/>
      <c r="FO6" s="849"/>
      <c r="FP6" s="849"/>
      <c r="FQ6" s="849"/>
      <c r="FR6" s="849"/>
      <c r="FS6" s="849"/>
      <c r="FT6" s="849"/>
      <c r="FU6" s="849"/>
      <c r="FV6" s="849"/>
      <c r="FW6" s="849"/>
      <c r="FX6" s="849"/>
      <c r="FY6" s="849"/>
      <c r="FZ6" s="849"/>
      <c r="GA6" s="849"/>
      <c r="GB6" s="849"/>
      <c r="GC6" s="849"/>
      <c r="GD6" s="849"/>
      <c r="GE6" s="849"/>
      <c r="GF6" s="849"/>
      <c r="GG6" s="849"/>
      <c r="GH6" s="849"/>
      <c r="GI6" s="849"/>
      <c r="GJ6" s="849"/>
      <c r="GK6" s="849"/>
      <c r="GL6" s="849"/>
      <c r="GM6" s="849"/>
      <c r="GN6" s="849"/>
      <c r="GO6" s="849"/>
      <c r="GP6" s="849"/>
      <c r="GQ6" s="849"/>
      <c r="GR6" s="849"/>
      <c r="GS6" s="849"/>
      <c r="GT6" s="849"/>
      <c r="GU6" s="849"/>
      <c r="GV6" s="849"/>
      <c r="GW6" s="849"/>
      <c r="GX6" s="849"/>
      <c r="GY6" s="849"/>
      <c r="GZ6" s="849"/>
      <c r="HA6" s="849"/>
      <c r="HB6" s="849"/>
      <c r="HC6" s="849"/>
      <c r="HD6" s="849"/>
      <c r="HE6" s="849"/>
      <c r="HF6" s="849"/>
      <c r="HG6" s="849"/>
      <c r="HH6" s="849"/>
      <c r="HI6" s="849"/>
      <c r="HJ6" s="849"/>
      <c r="HK6" s="849"/>
      <c r="HL6" s="849"/>
      <c r="HM6" s="849"/>
      <c r="HN6" s="849"/>
      <c r="HO6" s="849"/>
      <c r="HP6" s="849"/>
      <c r="HQ6" s="849"/>
      <c r="HR6" s="849"/>
      <c r="HS6" s="849"/>
      <c r="HT6" s="849"/>
      <c r="HU6" s="849"/>
      <c r="HV6" s="849"/>
      <c r="HW6" s="849"/>
      <c r="HX6" s="849"/>
      <c r="HY6" s="849"/>
      <c r="HZ6" s="849"/>
      <c r="IA6" s="849"/>
      <c r="IB6" s="849"/>
      <c r="IC6" s="849"/>
      <c r="ID6" s="849"/>
      <c r="IE6" s="849"/>
      <c r="IF6" s="849"/>
      <c r="IG6" s="849"/>
      <c r="IH6" s="849"/>
      <c r="II6" s="849"/>
      <c r="IJ6" s="849"/>
      <c r="IK6" s="849"/>
      <c r="IL6" s="849"/>
      <c r="IM6" s="849"/>
      <c r="IN6" s="849"/>
      <c r="IO6" s="849"/>
      <c r="IP6" s="849"/>
      <c r="IQ6" s="849"/>
      <c r="IR6" s="849"/>
      <c r="IS6" s="849"/>
      <c r="IT6" s="849"/>
    </row>
    <row r="7" spans="1:254" s="857" customFormat="1" ht="15" customHeight="1">
      <c r="A7" s="1795" t="s">
        <v>618</v>
      </c>
      <c r="B7" s="2253"/>
      <c r="C7" s="1796"/>
      <c r="D7" s="2489" t="str">
        <f>IF('PR_Programmatic Progress_1A'!C7="","",'PR_Programmatic Progress_1A'!C7)</f>
        <v>BTN-607-G03-H</v>
      </c>
      <c r="E7" s="2490"/>
      <c r="F7" s="2490"/>
      <c r="G7" s="2491"/>
      <c r="H7" s="85"/>
      <c r="I7" s="63"/>
      <c r="J7" s="753"/>
      <c r="K7" s="858"/>
      <c r="L7" s="858"/>
      <c r="M7" s="858"/>
      <c r="N7" s="858"/>
      <c r="O7" s="858"/>
      <c r="P7" s="858"/>
      <c r="Q7" s="858"/>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BZ7" s="849"/>
      <c r="CA7" s="849"/>
      <c r="CB7" s="849"/>
      <c r="CC7" s="849"/>
      <c r="CD7" s="849"/>
      <c r="CE7" s="849"/>
      <c r="CF7" s="849"/>
      <c r="CG7" s="849"/>
      <c r="CH7" s="849"/>
      <c r="CI7" s="849"/>
      <c r="CJ7" s="849"/>
      <c r="CK7" s="849"/>
      <c r="CL7" s="849"/>
      <c r="CM7" s="849"/>
      <c r="CN7" s="849"/>
      <c r="CO7" s="849"/>
      <c r="CP7" s="849"/>
      <c r="CQ7" s="849"/>
      <c r="CR7" s="849"/>
      <c r="CS7" s="849"/>
      <c r="CT7" s="849"/>
      <c r="CU7" s="849"/>
      <c r="CV7" s="849"/>
      <c r="CW7" s="849"/>
      <c r="CX7" s="849"/>
      <c r="CY7" s="849"/>
      <c r="CZ7" s="849"/>
      <c r="DA7" s="849"/>
      <c r="DB7" s="849"/>
      <c r="DC7" s="849"/>
      <c r="DD7" s="849"/>
      <c r="DE7" s="849"/>
      <c r="DF7" s="849"/>
      <c r="DG7" s="849"/>
      <c r="DH7" s="849"/>
      <c r="DI7" s="849"/>
      <c r="DJ7" s="849"/>
      <c r="DK7" s="849"/>
      <c r="DL7" s="849"/>
      <c r="DM7" s="849"/>
      <c r="DN7" s="849"/>
      <c r="DO7" s="849"/>
      <c r="DP7" s="849"/>
      <c r="DQ7" s="849"/>
      <c r="DR7" s="849"/>
      <c r="DS7" s="849"/>
      <c r="DT7" s="849"/>
      <c r="DU7" s="849"/>
      <c r="DV7" s="849"/>
      <c r="DW7" s="849"/>
      <c r="DX7" s="849"/>
      <c r="DY7" s="849"/>
      <c r="DZ7" s="849"/>
      <c r="EA7" s="849"/>
      <c r="EB7" s="849"/>
      <c r="EC7" s="849"/>
      <c r="ED7" s="849"/>
      <c r="EE7" s="849"/>
      <c r="EF7" s="849"/>
      <c r="EG7" s="849"/>
      <c r="EH7" s="849"/>
      <c r="EI7" s="849"/>
      <c r="EJ7" s="849"/>
      <c r="EK7" s="849"/>
      <c r="EL7" s="849"/>
      <c r="EM7" s="849"/>
      <c r="EN7" s="849"/>
      <c r="EO7" s="849"/>
      <c r="EP7" s="849"/>
      <c r="EQ7" s="849"/>
      <c r="ER7" s="849"/>
      <c r="ES7" s="849"/>
      <c r="ET7" s="849"/>
      <c r="EU7" s="849"/>
      <c r="EV7" s="849"/>
      <c r="EW7" s="849"/>
      <c r="EX7" s="849"/>
      <c r="EY7" s="849"/>
      <c r="EZ7" s="849"/>
      <c r="FA7" s="849"/>
      <c r="FB7" s="849"/>
      <c r="FC7" s="849"/>
      <c r="FD7" s="849"/>
      <c r="FE7" s="849"/>
      <c r="FF7" s="849"/>
      <c r="FG7" s="849"/>
      <c r="FH7" s="849"/>
      <c r="FI7" s="849"/>
      <c r="FJ7" s="849"/>
      <c r="FK7" s="849"/>
      <c r="FL7" s="849"/>
      <c r="FM7" s="849"/>
      <c r="FN7" s="849"/>
      <c r="FO7" s="849"/>
      <c r="FP7" s="849"/>
      <c r="FQ7" s="849"/>
      <c r="FR7" s="849"/>
      <c r="FS7" s="849"/>
      <c r="FT7" s="849"/>
      <c r="FU7" s="849"/>
      <c r="FV7" s="849"/>
      <c r="FW7" s="849"/>
      <c r="FX7" s="849"/>
      <c r="FY7" s="849"/>
      <c r="FZ7" s="849"/>
      <c r="GA7" s="849"/>
      <c r="GB7" s="849"/>
      <c r="GC7" s="849"/>
      <c r="GD7" s="849"/>
      <c r="GE7" s="849"/>
      <c r="GF7" s="849"/>
      <c r="GG7" s="849"/>
      <c r="GH7" s="849"/>
      <c r="GI7" s="849"/>
      <c r="GJ7" s="849"/>
      <c r="GK7" s="849"/>
      <c r="GL7" s="849"/>
      <c r="GM7" s="849"/>
      <c r="GN7" s="849"/>
      <c r="GO7" s="849"/>
      <c r="GP7" s="849"/>
      <c r="GQ7" s="849"/>
      <c r="GR7" s="849"/>
      <c r="GS7" s="849"/>
      <c r="GT7" s="849"/>
      <c r="GU7" s="849"/>
      <c r="GV7" s="849"/>
      <c r="GW7" s="849"/>
      <c r="GX7" s="849"/>
      <c r="GY7" s="849"/>
      <c r="GZ7" s="849"/>
      <c r="HA7" s="849"/>
      <c r="HB7" s="849"/>
      <c r="HC7" s="849"/>
      <c r="HD7" s="849"/>
      <c r="HE7" s="849"/>
      <c r="HF7" s="849"/>
      <c r="HG7" s="849"/>
      <c r="HH7" s="849"/>
      <c r="HI7" s="849"/>
      <c r="HJ7" s="849"/>
      <c r="HK7" s="849"/>
      <c r="HL7" s="849"/>
      <c r="HM7" s="849"/>
      <c r="HN7" s="849"/>
      <c r="HO7" s="849"/>
      <c r="HP7" s="849"/>
      <c r="HQ7" s="849"/>
      <c r="HR7" s="849"/>
      <c r="HS7" s="849"/>
      <c r="HT7" s="849"/>
      <c r="HU7" s="849"/>
      <c r="HV7" s="849"/>
      <c r="HW7" s="849"/>
      <c r="HX7" s="849"/>
      <c r="HY7" s="849"/>
      <c r="HZ7" s="849"/>
      <c r="IA7" s="849"/>
      <c r="IB7" s="849"/>
      <c r="IC7" s="849"/>
      <c r="ID7" s="849"/>
      <c r="IE7" s="849"/>
      <c r="IF7" s="849"/>
      <c r="IG7" s="849"/>
      <c r="IH7" s="849"/>
      <c r="II7" s="849"/>
      <c r="IJ7" s="849"/>
      <c r="IK7" s="849"/>
      <c r="IL7" s="849"/>
      <c r="IM7" s="849"/>
      <c r="IN7" s="849"/>
      <c r="IO7" s="849"/>
      <c r="IP7" s="849"/>
      <c r="IQ7" s="849"/>
      <c r="IR7" s="849"/>
      <c r="IS7" s="849"/>
      <c r="IT7" s="849"/>
    </row>
    <row r="8" spans="1:254" s="857" customFormat="1" ht="15" customHeight="1">
      <c r="A8" s="1795" t="s">
        <v>591</v>
      </c>
      <c r="B8" s="2253"/>
      <c r="C8" s="1796"/>
      <c r="D8" s="2476" t="str">
        <f>IF('PR_Programmatic Progress_1A'!C8="","",'PR_Programmatic Progress_1A'!C8)</f>
        <v xml:space="preserve">Ministry of Health </v>
      </c>
      <c r="E8" s="2477"/>
      <c r="F8" s="2477"/>
      <c r="G8" s="2478"/>
      <c r="H8" s="859"/>
      <c r="I8" s="63"/>
      <c r="J8" s="63"/>
      <c r="K8" s="858"/>
      <c r="L8" s="858"/>
      <c r="M8" s="858"/>
      <c r="N8" s="858"/>
      <c r="O8" s="858"/>
      <c r="P8" s="858"/>
      <c r="Q8" s="858"/>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c r="BM8" s="849"/>
      <c r="BN8" s="849"/>
      <c r="BO8" s="849"/>
      <c r="BP8" s="849"/>
      <c r="BQ8" s="849"/>
      <c r="BR8" s="849"/>
      <c r="BS8" s="849"/>
      <c r="BT8" s="849"/>
      <c r="BU8" s="849"/>
      <c r="BV8" s="849"/>
      <c r="BW8" s="849"/>
      <c r="BX8" s="849"/>
      <c r="BY8" s="849"/>
      <c r="BZ8" s="849"/>
      <c r="CA8" s="849"/>
      <c r="CB8" s="849"/>
      <c r="CC8" s="849"/>
      <c r="CD8" s="849"/>
      <c r="CE8" s="849"/>
      <c r="CF8" s="849"/>
      <c r="CG8" s="849"/>
      <c r="CH8" s="849"/>
      <c r="CI8" s="849"/>
      <c r="CJ8" s="849"/>
      <c r="CK8" s="849"/>
      <c r="CL8" s="849"/>
      <c r="CM8" s="849"/>
      <c r="CN8" s="849"/>
      <c r="CO8" s="849"/>
      <c r="CP8" s="849"/>
      <c r="CQ8" s="849"/>
      <c r="CR8" s="849"/>
      <c r="CS8" s="849"/>
      <c r="CT8" s="849"/>
      <c r="CU8" s="849"/>
      <c r="CV8" s="849"/>
      <c r="CW8" s="849"/>
      <c r="CX8" s="849"/>
      <c r="CY8" s="849"/>
      <c r="CZ8" s="849"/>
      <c r="DA8" s="849"/>
      <c r="DB8" s="849"/>
      <c r="DC8" s="849"/>
      <c r="DD8" s="849"/>
      <c r="DE8" s="849"/>
      <c r="DF8" s="849"/>
      <c r="DG8" s="849"/>
      <c r="DH8" s="849"/>
      <c r="DI8" s="849"/>
      <c r="DJ8" s="849"/>
      <c r="DK8" s="849"/>
      <c r="DL8" s="849"/>
      <c r="DM8" s="849"/>
      <c r="DN8" s="849"/>
      <c r="DO8" s="849"/>
      <c r="DP8" s="849"/>
      <c r="DQ8" s="849"/>
      <c r="DR8" s="849"/>
      <c r="DS8" s="849"/>
      <c r="DT8" s="849"/>
      <c r="DU8" s="849"/>
      <c r="DV8" s="849"/>
      <c r="DW8" s="849"/>
      <c r="DX8" s="849"/>
      <c r="DY8" s="849"/>
      <c r="DZ8" s="849"/>
      <c r="EA8" s="849"/>
      <c r="EB8" s="849"/>
      <c r="EC8" s="849"/>
      <c r="ED8" s="849"/>
      <c r="EE8" s="849"/>
      <c r="EF8" s="849"/>
      <c r="EG8" s="849"/>
      <c r="EH8" s="849"/>
      <c r="EI8" s="849"/>
      <c r="EJ8" s="849"/>
      <c r="EK8" s="849"/>
      <c r="EL8" s="849"/>
      <c r="EM8" s="849"/>
      <c r="EN8" s="849"/>
      <c r="EO8" s="849"/>
      <c r="EP8" s="849"/>
      <c r="EQ8" s="849"/>
      <c r="ER8" s="849"/>
      <c r="ES8" s="849"/>
      <c r="ET8" s="849"/>
      <c r="EU8" s="849"/>
      <c r="EV8" s="849"/>
      <c r="EW8" s="849"/>
      <c r="EX8" s="849"/>
      <c r="EY8" s="849"/>
      <c r="EZ8" s="849"/>
      <c r="FA8" s="849"/>
      <c r="FB8" s="849"/>
      <c r="FC8" s="849"/>
      <c r="FD8" s="849"/>
      <c r="FE8" s="849"/>
      <c r="FF8" s="849"/>
      <c r="FG8" s="849"/>
      <c r="FH8" s="849"/>
      <c r="FI8" s="849"/>
      <c r="FJ8" s="849"/>
      <c r="FK8" s="849"/>
      <c r="FL8" s="849"/>
      <c r="FM8" s="849"/>
      <c r="FN8" s="849"/>
      <c r="FO8" s="849"/>
      <c r="FP8" s="849"/>
      <c r="FQ8" s="849"/>
      <c r="FR8" s="849"/>
      <c r="FS8" s="849"/>
      <c r="FT8" s="849"/>
      <c r="FU8" s="849"/>
      <c r="FV8" s="849"/>
      <c r="FW8" s="849"/>
      <c r="FX8" s="849"/>
      <c r="FY8" s="849"/>
      <c r="FZ8" s="849"/>
      <c r="GA8" s="849"/>
      <c r="GB8" s="849"/>
      <c r="GC8" s="849"/>
      <c r="GD8" s="849"/>
      <c r="GE8" s="849"/>
      <c r="GF8" s="849"/>
      <c r="GG8" s="849"/>
      <c r="GH8" s="849"/>
      <c r="GI8" s="849"/>
      <c r="GJ8" s="849"/>
      <c r="GK8" s="849"/>
      <c r="GL8" s="849"/>
      <c r="GM8" s="849"/>
      <c r="GN8" s="849"/>
      <c r="GO8" s="849"/>
      <c r="GP8" s="849"/>
      <c r="GQ8" s="849"/>
      <c r="GR8" s="849"/>
      <c r="GS8" s="849"/>
      <c r="GT8" s="849"/>
      <c r="GU8" s="849"/>
      <c r="GV8" s="849"/>
      <c r="GW8" s="849"/>
      <c r="GX8" s="849"/>
      <c r="GY8" s="849"/>
      <c r="GZ8" s="849"/>
      <c r="HA8" s="849"/>
      <c r="HB8" s="849"/>
      <c r="HC8" s="849"/>
      <c r="HD8" s="849"/>
      <c r="HE8" s="849"/>
      <c r="HF8" s="849"/>
      <c r="HG8" s="849"/>
      <c r="HH8" s="849"/>
      <c r="HI8" s="849"/>
      <c r="HJ8" s="849"/>
      <c r="HK8" s="849"/>
      <c r="HL8" s="849"/>
      <c r="HM8" s="849"/>
      <c r="HN8" s="849"/>
      <c r="HO8" s="849"/>
      <c r="HP8" s="849"/>
      <c r="HQ8" s="849"/>
      <c r="HR8" s="849"/>
      <c r="HS8" s="849"/>
      <c r="HT8" s="849"/>
      <c r="HU8" s="849"/>
      <c r="HV8" s="849"/>
      <c r="HW8" s="849"/>
      <c r="HX8" s="849"/>
      <c r="HY8" s="849"/>
      <c r="HZ8" s="849"/>
      <c r="IA8" s="849"/>
      <c r="IB8" s="849"/>
      <c r="IC8" s="849"/>
      <c r="ID8" s="849"/>
      <c r="IE8" s="849"/>
      <c r="IF8" s="849"/>
      <c r="IG8" s="849"/>
      <c r="IH8" s="849"/>
      <c r="II8" s="849"/>
      <c r="IJ8" s="849"/>
      <c r="IK8" s="849"/>
      <c r="IL8" s="849"/>
      <c r="IM8" s="849"/>
      <c r="IN8" s="849"/>
      <c r="IO8" s="849"/>
      <c r="IP8" s="849"/>
      <c r="IQ8" s="849"/>
      <c r="IR8" s="849"/>
      <c r="IS8" s="849"/>
      <c r="IT8" s="849"/>
    </row>
    <row r="9" spans="1:254" s="857" customFormat="1" ht="15" customHeight="1">
      <c r="A9" s="1795" t="s">
        <v>616</v>
      </c>
      <c r="B9" s="2253"/>
      <c r="C9" s="1796"/>
      <c r="D9" s="2486">
        <f>IF('PR_Programmatic Progress_1A'!C9="","",'PR_Programmatic Progress_1A'!C9)</f>
        <v>39479</v>
      </c>
      <c r="E9" s="2487"/>
      <c r="F9" s="2487"/>
      <c r="G9" s="2488"/>
      <c r="H9" s="860"/>
      <c r="I9" s="63"/>
      <c r="J9" s="63"/>
      <c r="K9" s="858"/>
      <c r="L9" s="858"/>
      <c r="M9" s="858"/>
      <c r="N9" s="858"/>
      <c r="O9" s="858"/>
      <c r="P9" s="858"/>
      <c r="Q9" s="858"/>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49"/>
      <c r="AZ9" s="849"/>
      <c r="BA9" s="849"/>
      <c r="BB9" s="849"/>
      <c r="BC9" s="849"/>
      <c r="BD9" s="849"/>
      <c r="BE9" s="849"/>
      <c r="BF9" s="849"/>
      <c r="BG9" s="849"/>
      <c r="BH9" s="849"/>
      <c r="BI9" s="849"/>
      <c r="BJ9" s="849"/>
      <c r="BK9" s="849"/>
      <c r="BL9" s="849"/>
      <c r="BM9" s="849"/>
      <c r="BN9" s="849"/>
      <c r="BO9" s="849"/>
      <c r="BP9" s="849"/>
      <c r="BQ9" s="849"/>
      <c r="BR9" s="849"/>
      <c r="BS9" s="849"/>
      <c r="BT9" s="849"/>
      <c r="BU9" s="849"/>
      <c r="BV9" s="849"/>
      <c r="BW9" s="849"/>
      <c r="BX9" s="849"/>
      <c r="BY9" s="849"/>
      <c r="BZ9" s="849"/>
      <c r="CA9" s="849"/>
      <c r="CB9" s="849"/>
      <c r="CC9" s="849"/>
      <c r="CD9" s="849"/>
      <c r="CE9" s="849"/>
      <c r="CF9" s="849"/>
      <c r="CG9" s="849"/>
      <c r="CH9" s="849"/>
      <c r="CI9" s="849"/>
      <c r="CJ9" s="849"/>
      <c r="CK9" s="849"/>
      <c r="CL9" s="849"/>
      <c r="CM9" s="849"/>
      <c r="CN9" s="849"/>
      <c r="CO9" s="849"/>
      <c r="CP9" s="849"/>
      <c r="CQ9" s="849"/>
      <c r="CR9" s="849"/>
      <c r="CS9" s="849"/>
      <c r="CT9" s="849"/>
      <c r="CU9" s="849"/>
      <c r="CV9" s="849"/>
      <c r="CW9" s="849"/>
      <c r="CX9" s="849"/>
      <c r="CY9" s="849"/>
      <c r="CZ9" s="849"/>
      <c r="DA9" s="849"/>
      <c r="DB9" s="849"/>
      <c r="DC9" s="849"/>
      <c r="DD9" s="849"/>
      <c r="DE9" s="849"/>
      <c r="DF9" s="849"/>
      <c r="DG9" s="849"/>
      <c r="DH9" s="849"/>
      <c r="DI9" s="849"/>
      <c r="DJ9" s="849"/>
      <c r="DK9" s="849"/>
      <c r="DL9" s="849"/>
      <c r="DM9" s="849"/>
      <c r="DN9" s="849"/>
      <c r="DO9" s="849"/>
      <c r="DP9" s="849"/>
      <c r="DQ9" s="849"/>
      <c r="DR9" s="849"/>
      <c r="DS9" s="849"/>
      <c r="DT9" s="849"/>
      <c r="DU9" s="849"/>
      <c r="DV9" s="849"/>
      <c r="DW9" s="849"/>
      <c r="DX9" s="849"/>
      <c r="DY9" s="849"/>
      <c r="DZ9" s="849"/>
      <c r="EA9" s="849"/>
      <c r="EB9" s="849"/>
      <c r="EC9" s="849"/>
      <c r="ED9" s="849"/>
      <c r="EE9" s="849"/>
      <c r="EF9" s="849"/>
      <c r="EG9" s="849"/>
      <c r="EH9" s="849"/>
      <c r="EI9" s="849"/>
      <c r="EJ9" s="849"/>
      <c r="EK9" s="849"/>
      <c r="EL9" s="849"/>
      <c r="EM9" s="849"/>
      <c r="EN9" s="849"/>
      <c r="EO9" s="849"/>
      <c r="EP9" s="849"/>
      <c r="EQ9" s="849"/>
      <c r="ER9" s="849"/>
      <c r="ES9" s="849"/>
      <c r="ET9" s="849"/>
      <c r="EU9" s="849"/>
      <c r="EV9" s="849"/>
      <c r="EW9" s="849"/>
      <c r="EX9" s="849"/>
      <c r="EY9" s="849"/>
      <c r="EZ9" s="849"/>
      <c r="FA9" s="849"/>
      <c r="FB9" s="849"/>
      <c r="FC9" s="849"/>
      <c r="FD9" s="849"/>
      <c r="FE9" s="849"/>
      <c r="FF9" s="849"/>
      <c r="FG9" s="849"/>
      <c r="FH9" s="849"/>
      <c r="FI9" s="849"/>
      <c r="FJ9" s="849"/>
      <c r="FK9" s="849"/>
      <c r="FL9" s="849"/>
      <c r="FM9" s="849"/>
      <c r="FN9" s="849"/>
      <c r="FO9" s="849"/>
      <c r="FP9" s="849"/>
      <c r="FQ9" s="849"/>
      <c r="FR9" s="849"/>
      <c r="FS9" s="849"/>
      <c r="FT9" s="849"/>
      <c r="FU9" s="849"/>
      <c r="FV9" s="849"/>
      <c r="FW9" s="849"/>
      <c r="FX9" s="849"/>
      <c r="FY9" s="849"/>
      <c r="FZ9" s="849"/>
      <c r="GA9" s="849"/>
      <c r="GB9" s="849"/>
      <c r="GC9" s="849"/>
      <c r="GD9" s="849"/>
      <c r="GE9" s="849"/>
      <c r="GF9" s="849"/>
      <c r="GG9" s="849"/>
      <c r="GH9" s="849"/>
      <c r="GI9" s="849"/>
      <c r="GJ9" s="849"/>
      <c r="GK9" s="849"/>
      <c r="GL9" s="849"/>
      <c r="GM9" s="849"/>
      <c r="GN9" s="849"/>
      <c r="GO9" s="849"/>
      <c r="GP9" s="849"/>
      <c r="GQ9" s="849"/>
      <c r="GR9" s="849"/>
      <c r="GS9" s="849"/>
      <c r="GT9" s="849"/>
      <c r="GU9" s="849"/>
      <c r="GV9" s="849"/>
      <c r="GW9" s="849"/>
      <c r="GX9" s="849"/>
      <c r="GY9" s="849"/>
      <c r="GZ9" s="849"/>
      <c r="HA9" s="849"/>
      <c r="HB9" s="849"/>
      <c r="HC9" s="849"/>
      <c r="HD9" s="849"/>
      <c r="HE9" s="849"/>
      <c r="HF9" s="849"/>
      <c r="HG9" s="849"/>
      <c r="HH9" s="849"/>
      <c r="HI9" s="849"/>
      <c r="HJ9" s="849"/>
      <c r="HK9" s="849"/>
      <c r="HL9" s="849"/>
      <c r="HM9" s="849"/>
      <c r="HN9" s="849"/>
      <c r="HO9" s="849"/>
      <c r="HP9" s="849"/>
      <c r="HQ9" s="849"/>
      <c r="HR9" s="849"/>
      <c r="HS9" s="849"/>
      <c r="HT9" s="849"/>
      <c r="HU9" s="849"/>
      <c r="HV9" s="849"/>
      <c r="HW9" s="849"/>
      <c r="HX9" s="849"/>
      <c r="HY9" s="849"/>
      <c r="HZ9" s="849"/>
      <c r="IA9" s="849"/>
      <c r="IB9" s="849"/>
      <c r="IC9" s="849"/>
      <c r="ID9" s="849"/>
      <c r="IE9" s="849"/>
      <c r="IF9" s="849"/>
      <c r="IG9" s="849"/>
      <c r="IH9" s="849"/>
      <c r="II9" s="849"/>
      <c r="IJ9" s="849"/>
      <c r="IK9" s="849"/>
      <c r="IL9" s="849"/>
      <c r="IM9" s="849"/>
      <c r="IN9" s="849"/>
      <c r="IO9" s="849"/>
      <c r="IP9" s="849"/>
      <c r="IQ9" s="849"/>
      <c r="IR9" s="849"/>
      <c r="IS9" s="849"/>
      <c r="IT9" s="849"/>
    </row>
    <row r="10" spans="1:254" s="857" customFormat="1" ht="15" customHeight="1" thickBot="1">
      <c r="A10" s="1751" t="s">
        <v>592</v>
      </c>
      <c r="B10" s="2492"/>
      <c r="C10" s="1752"/>
      <c r="D10" s="2163" t="str">
        <f>IF('PR_Programmatic Progress_1A'!C10="","",'PR_Programmatic Progress_1A'!C10)</f>
        <v>USD</v>
      </c>
      <c r="E10" s="2164"/>
      <c r="F10" s="2164"/>
      <c r="G10" s="2165"/>
      <c r="H10" s="861"/>
      <c r="I10" s="63"/>
      <c r="J10" s="63"/>
      <c r="K10" s="1127"/>
      <c r="L10" s="858"/>
      <c r="M10" s="858"/>
      <c r="N10" s="858"/>
      <c r="O10" s="858"/>
      <c r="P10" s="858"/>
      <c r="Q10" s="858"/>
      <c r="R10" s="849"/>
      <c r="S10" s="849"/>
      <c r="T10" s="849"/>
      <c r="U10" s="849"/>
      <c r="V10" s="849"/>
      <c r="W10" s="849"/>
      <c r="X10" s="849"/>
      <c r="Y10" s="849"/>
      <c r="Z10" s="849"/>
      <c r="AA10" s="849"/>
      <c r="AB10" s="849"/>
      <c r="AC10" s="849"/>
      <c r="AD10" s="849"/>
      <c r="AE10" s="849"/>
      <c r="AF10" s="849"/>
      <c r="AG10" s="849"/>
      <c r="AH10" s="849"/>
      <c r="AI10" s="849"/>
      <c r="AJ10" s="849"/>
      <c r="AK10" s="849"/>
      <c r="AL10" s="849"/>
      <c r="AM10" s="849"/>
      <c r="AN10" s="849"/>
      <c r="AO10" s="849"/>
      <c r="AP10" s="849"/>
      <c r="AQ10" s="849"/>
      <c r="AR10" s="849"/>
      <c r="AS10" s="849"/>
      <c r="AT10" s="849"/>
      <c r="AU10" s="849"/>
      <c r="AV10" s="849"/>
      <c r="AW10" s="849"/>
      <c r="AX10" s="849"/>
      <c r="AY10" s="849"/>
      <c r="AZ10" s="849"/>
      <c r="BA10" s="849"/>
      <c r="BB10" s="849"/>
      <c r="BC10" s="849"/>
      <c r="BD10" s="849"/>
      <c r="BE10" s="849"/>
      <c r="BF10" s="849"/>
      <c r="BG10" s="849"/>
      <c r="BH10" s="849"/>
      <c r="BI10" s="849"/>
      <c r="BJ10" s="849"/>
      <c r="BK10" s="849"/>
      <c r="BL10" s="849"/>
      <c r="BM10" s="849"/>
      <c r="BN10" s="849"/>
      <c r="BO10" s="849"/>
      <c r="BP10" s="849"/>
      <c r="BQ10" s="849"/>
      <c r="BR10" s="849"/>
      <c r="BS10" s="849"/>
      <c r="BT10" s="849"/>
      <c r="BU10" s="849"/>
      <c r="BV10" s="849"/>
      <c r="BW10" s="849"/>
      <c r="BX10" s="849"/>
      <c r="BY10" s="849"/>
      <c r="BZ10" s="849"/>
      <c r="CA10" s="849"/>
      <c r="CB10" s="849"/>
      <c r="CC10" s="849"/>
      <c r="CD10" s="849"/>
      <c r="CE10" s="849"/>
      <c r="CF10" s="849"/>
      <c r="CG10" s="849"/>
      <c r="CH10" s="849"/>
      <c r="CI10" s="849"/>
      <c r="CJ10" s="849"/>
      <c r="CK10" s="849"/>
      <c r="CL10" s="849"/>
      <c r="CM10" s="849"/>
      <c r="CN10" s="849"/>
      <c r="CO10" s="849"/>
      <c r="CP10" s="849"/>
      <c r="CQ10" s="849"/>
      <c r="CR10" s="849"/>
      <c r="CS10" s="849"/>
      <c r="CT10" s="849"/>
      <c r="CU10" s="849"/>
      <c r="CV10" s="849"/>
      <c r="CW10" s="849"/>
      <c r="CX10" s="849"/>
      <c r="CY10" s="849"/>
      <c r="CZ10" s="849"/>
      <c r="DA10" s="849"/>
      <c r="DB10" s="849"/>
      <c r="DC10" s="849"/>
      <c r="DD10" s="849"/>
      <c r="DE10" s="849"/>
      <c r="DF10" s="849"/>
      <c r="DG10" s="849"/>
      <c r="DH10" s="849"/>
      <c r="DI10" s="849"/>
      <c r="DJ10" s="849"/>
      <c r="DK10" s="849"/>
      <c r="DL10" s="849"/>
      <c r="DM10" s="849"/>
      <c r="DN10" s="849"/>
      <c r="DO10" s="849"/>
      <c r="DP10" s="849"/>
      <c r="DQ10" s="849"/>
      <c r="DR10" s="849"/>
      <c r="DS10" s="849"/>
      <c r="DT10" s="849"/>
      <c r="DU10" s="849"/>
      <c r="DV10" s="849"/>
      <c r="DW10" s="849"/>
      <c r="DX10" s="849"/>
      <c r="DY10" s="849"/>
      <c r="DZ10" s="849"/>
      <c r="EA10" s="849"/>
      <c r="EB10" s="849"/>
      <c r="EC10" s="849"/>
      <c r="ED10" s="849"/>
      <c r="EE10" s="849"/>
      <c r="EF10" s="849"/>
      <c r="EG10" s="849"/>
      <c r="EH10" s="849"/>
      <c r="EI10" s="849"/>
      <c r="EJ10" s="849"/>
      <c r="EK10" s="849"/>
      <c r="EL10" s="849"/>
      <c r="EM10" s="849"/>
      <c r="EN10" s="849"/>
      <c r="EO10" s="849"/>
      <c r="EP10" s="849"/>
      <c r="EQ10" s="849"/>
      <c r="ER10" s="849"/>
      <c r="ES10" s="849"/>
      <c r="ET10" s="849"/>
      <c r="EU10" s="849"/>
      <c r="EV10" s="849"/>
      <c r="EW10" s="849"/>
      <c r="EX10" s="849"/>
      <c r="EY10" s="849"/>
      <c r="EZ10" s="849"/>
      <c r="FA10" s="849"/>
      <c r="FB10" s="849"/>
      <c r="FC10" s="849"/>
      <c r="FD10" s="849"/>
      <c r="FE10" s="849"/>
      <c r="FF10" s="849"/>
      <c r="FG10" s="849"/>
      <c r="FH10" s="849"/>
      <c r="FI10" s="849"/>
      <c r="FJ10" s="849"/>
      <c r="FK10" s="849"/>
      <c r="FL10" s="849"/>
      <c r="FM10" s="849"/>
      <c r="FN10" s="849"/>
      <c r="FO10" s="849"/>
      <c r="FP10" s="849"/>
      <c r="FQ10" s="849"/>
      <c r="FR10" s="849"/>
      <c r="FS10" s="849"/>
      <c r="FT10" s="849"/>
      <c r="FU10" s="849"/>
      <c r="FV10" s="849"/>
      <c r="FW10" s="849"/>
      <c r="FX10" s="849"/>
      <c r="FY10" s="849"/>
      <c r="FZ10" s="849"/>
      <c r="GA10" s="849"/>
      <c r="GB10" s="849"/>
      <c r="GC10" s="849"/>
      <c r="GD10" s="849"/>
      <c r="GE10" s="849"/>
      <c r="GF10" s="849"/>
      <c r="GG10" s="849"/>
      <c r="GH10" s="849"/>
      <c r="GI10" s="849"/>
      <c r="GJ10" s="849"/>
      <c r="GK10" s="849"/>
      <c r="GL10" s="849"/>
      <c r="GM10" s="849"/>
      <c r="GN10" s="849"/>
      <c r="GO10" s="849"/>
      <c r="GP10" s="849"/>
      <c r="GQ10" s="849"/>
      <c r="GR10" s="849"/>
      <c r="GS10" s="849"/>
      <c r="GT10" s="849"/>
      <c r="GU10" s="849"/>
      <c r="GV10" s="849"/>
      <c r="GW10" s="849"/>
      <c r="GX10" s="849"/>
      <c r="GY10" s="849"/>
      <c r="GZ10" s="849"/>
      <c r="HA10" s="849"/>
      <c r="HB10" s="849"/>
      <c r="HC10" s="849"/>
      <c r="HD10" s="849"/>
      <c r="HE10" s="849"/>
      <c r="HF10" s="849"/>
      <c r="HG10" s="849"/>
      <c r="HH10" s="849"/>
      <c r="HI10" s="849"/>
      <c r="HJ10" s="849"/>
      <c r="HK10" s="849"/>
      <c r="HL10" s="849"/>
      <c r="HM10" s="849"/>
      <c r="HN10" s="849"/>
      <c r="HO10" s="849"/>
      <c r="HP10" s="849"/>
      <c r="HQ10" s="849"/>
      <c r="HR10" s="849"/>
      <c r="HS10" s="849"/>
      <c r="HT10" s="849"/>
      <c r="HU10" s="849"/>
      <c r="HV10" s="849"/>
      <c r="HW10" s="849"/>
      <c r="HX10" s="849"/>
      <c r="HY10" s="849"/>
      <c r="HZ10" s="849"/>
      <c r="IA10" s="849"/>
      <c r="IB10" s="849"/>
      <c r="IC10" s="849"/>
      <c r="ID10" s="849"/>
      <c r="IE10" s="849"/>
      <c r="IF10" s="849"/>
      <c r="IG10" s="849"/>
      <c r="IH10" s="849"/>
      <c r="II10" s="849"/>
      <c r="IJ10" s="849"/>
      <c r="IK10" s="849"/>
      <c r="IL10" s="849"/>
      <c r="IM10" s="849"/>
      <c r="IN10" s="849"/>
      <c r="IO10" s="849"/>
      <c r="IP10" s="849"/>
      <c r="IQ10" s="849"/>
      <c r="IR10" s="849"/>
      <c r="IS10" s="849"/>
      <c r="IT10" s="849"/>
    </row>
    <row r="11" spans="1:254" s="857" customFormat="1" ht="21.75" customHeight="1">
      <c r="A11" s="863"/>
      <c r="B11" s="863"/>
      <c r="C11" s="863"/>
      <c r="D11" s="862"/>
      <c r="E11" s="862"/>
      <c r="F11" s="862"/>
      <c r="G11" s="862"/>
      <c r="H11" s="861"/>
      <c r="I11" s="63"/>
      <c r="J11" s="63"/>
      <c r="K11" s="858"/>
      <c r="L11" s="858"/>
      <c r="M11" s="858"/>
      <c r="N11" s="858"/>
      <c r="O11" s="858"/>
      <c r="P11" s="858"/>
      <c r="Q11" s="858"/>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849"/>
      <c r="AX11" s="849"/>
      <c r="AY11" s="849"/>
      <c r="AZ11" s="849"/>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49"/>
      <c r="CG11" s="849"/>
      <c r="CH11" s="849"/>
      <c r="CI11" s="849"/>
      <c r="CJ11" s="849"/>
      <c r="CK11" s="849"/>
      <c r="CL11" s="849"/>
      <c r="CM11" s="849"/>
      <c r="CN11" s="849"/>
      <c r="CO11" s="849"/>
      <c r="CP11" s="849"/>
      <c r="CQ11" s="849"/>
      <c r="CR11" s="849"/>
      <c r="CS11" s="849"/>
      <c r="CT11" s="849"/>
      <c r="CU11" s="849"/>
      <c r="CV11" s="849"/>
      <c r="CW11" s="849"/>
      <c r="CX11" s="849"/>
      <c r="CY11" s="849"/>
      <c r="CZ11" s="849"/>
      <c r="DA11" s="849"/>
      <c r="DB11" s="849"/>
      <c r="DC11" s="849"/>
      <c r="DD11" s="849"/>
      <c r="DE11" s="849"/>
      <c r="DF11" s="849"/>
      <c r="DG11" s="849"/>
      <c r="DH11" s="849"/>
      <c r="DI11" s="849"/>
      <c r="DJ11" s="849"/>
      <c r="DK11" s="849"/>
      <c r="DL11" s="849"/>
      <c r="DM11" s="849"/>
      <c r="DN11" s="849"/>
      <c r="DO11" s="849"/>
      <c r="DP11" s="849"/>
      <c r="DQ11" s="849"/>
      <c r="DR11" s="849"/>
      <c r="DS11" s="849"/>
      <c r="DT11" s="849"/>
      <c r="DU11" s="849"/>
      <c r="DV11" s="849"/>
      <c r="DW11" s="849"/>
      <c r="DX11" s="849"/>
      <c r="DY11" s="849"/>
      <c r="DZ11" s="849"/>
      <c r="EA11" s="849"/>
      <c r="EB11" s="849"/>
      <c r="EC11" s="849"/>
      <c r="ED11" s="849"/>
      <c r="EE11" s="849"/>
      <c r="EF11" s="849"/>
      <c r="EG11" s="849"/>
      <c r="EH11" s="849"/>
      <c r="EI11" s="849"/>
      <c r="EJ11" s="849"/>
      <c r="EK11" s="849"/>
      <c r="EL11" s="849"/>
      <c r="EM11" s="849"/>
      <c r="EN11" s="849"/>
      <c r="EO11" s="849"/>
      <c r="EP11" s="849"/>
      <c r="EQ11" s="849"/>
      <c r="ER11" s="849"/>
      <c r="ES11" s="849"/>
      <c r="ET11" s="849"/>
      <c r="EU11" s="849"/>
      <c r="EV11" s="849"/>
      <c r="EW11" s="849"/>
      <c r="EX11" s="849"/>
      <c r="EY11" s="849"/>
      <c r="EZ11" s="849"/>
      <c r="FA11" s="849"/>
      <c r="FB11" s="849"/>
      <c r="FC11" s="849"/>
      <c r="FD11" s="849"/>
      <c r="FE11" s="849"/>
      <c r="FF11" s="849"/>
      <c r="FG11" s="849"/>
      <c r="FH11" s="849"/>
      <c r="FI11" s="849"/>
      <c r="FJ11" s="849"/>
      <c r="FK11" s="849"/>
      <c r="FL11" s="849"/>
      <c r="FM11" s="849"/>
      <c r="FN11" s="849"/>
      <c r="FO11" s="849"/>
      <c r="FP11" s="849"/>
      <c r="FQ11" s="849"/>
      <c r="FR11" s="849"/>
      <c r="FS11" s="849"/>
      <c r="FT11" s="849"/>
      <c r="FU11" s="849"/>
      <c r="FV11" s="849"/>
      <c r="FW11" s="849"/>
      <c r="FX11" s="849"/>
      <c r="FY11" s="849"/>
      <c r="FZ11" s="849"/>
      <c r="GA11" s="849"/>
      <c r="GB11" s="849"/>
      <c r="GC11" s="849"/>
      <c r="GD11" s="849"/>
      <c r="GE11" s="849"/>
      <c r="GF11" s="849"/>
      <c r="GG11" s="849"/>
      <c r="GH11" s="849"/>
      <c r="GI11" s="849"/>
      <c r="GJ11" s="849"/>
      <c r="GK11" s="849"/>
      <c r="GL11" s="849"/>
      <c r="GM11" s="849"/>
      <c r="GN11" s="849"/>
      <c r="GO11" s="849"/>
      <c r="GP11" s="849"/>
      <c r="GQ11" s="849"/>
      <c r="GR11" s="849"/>
      <c r="GS11" s="849"/>
      <c r="GT11" s="849"/>
      <c r="GU11" s="849"/>
      <c r="GV11" s="849"/>
      <c r="GW11" s="849"/>
      <c r="GX11" s="849"/>
      <c r="GY11" s="849"/>
      <c r="GZ11" s="849"/>
      <c r="HA11" s="849"/>
      <c r="HB11" s="849"/>
      <c r="HC11" s="849"/>
      <c r="HD11" s="849"/>
      <c r="HE11" s="849"/>
      <c r="HF11" s="849"/>
      <c r="HG11" s="849"/>
      <c r="HH11" s="849"/>
      <c r="HI11" s="849"/>
      <c r="HJ11" s="849"/>
      <c r="HK11" s="849"/>
      <c r="HL11" s="849"/>
      <c r="HM11" s="849"/>
      <c r="HN11" s="849"/>
      <c r="HO11" s="849"/>
      <c r="HP11" s="849"/>
      <c r="HQ11" s="849"/>
      <c r="HR11" s="849"/>
      <c r="HS11" s="849"/>
      <c r="HT11" s="849"/>
      <c r="HU11" s="849"/>
      <c r="HV11" s="849"/>
      <c r="HW11" s="849"/>
      <c r="HX11" s="849"/>
      <c r="HY11" s="849"/>
      <c r="HZ11" s="849"/>
      <c r="IA11" s="849"/>
      <c r="IB11" s="849"/>
      <c r="IC11" s="849"/>
      <c r="ID11" s="849"/>
      <c r="IE11" s="849"/>
      <c r="IF11" s="849"/>
      <c r="IG11" s="849"/>
      <c r="IH11" s="849"/>
      <c r="II11" s="849"/>
      <c r="IJ11" s="849"/>
      <c r="IK11" s="849"/>
      <c r="IL11" s="849"/>
      <c r="IM11" s="849"/>
      <c r="IN11" s="849"/>
      <c r="IO11" s="849"/>
      <c r="IP11" s="849"/>
      <c r="IQ11" s="849"/>
      <c r="IR11" s="849"/>
      <c r="IS11" s="849"/>
      <c r="IT11" s="849"/>
    </row>
    <row r="12" spans="1:254" s="857" customFormat="1" ht="18" customHeight="1">
      <c r="A12" s="98" t="s">
        <v>223</v>
      </c>
      <c r="B12" s="861"/>
      <c r="C12" s="861"/>
      <c r="D12" s="861"/>
      <c r="E12" s="861"/>
      <c r="F12" s="861"/>
      <c r="G12" s="861"/>
      <c r="H12" s="861"/>
      <c r="I12" s="861"/>
      <c r="J12" s="861"/>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3"/>
      <c r="AM12" s="723"/>
      <c r="AN12" s="723"/>
      <c r="AO12" s="723"/>
      <c r="AP12" s="723"/>
      <c r="AQ12" s="723"/>
      <c r="AR12" s="723"/>
      <c r="AS12" s="723"/>
      <c r="AT12" s="723"/>
      <c r="AU12" s="723"/>
      <c r="AV12" s="723"/>
      <c r="AW12" s="723"/>
      <c r="AX12" s="723"/>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723"/>
      <c r="CP12" s="723"/>
      <c r="CQ12" s="723"/>
      <c r="CR12" s="723"/>
      <c r="CS12" s="723"/>
      <c r="CT12" s="723"/>
      <c r="CU12" s="723"/>
      <c r="CV12" s="723"/>
      <c r="CW12" s="723"/>
      <c r="CX12" s="723"/>
      <c r="CY12" s="723"/>
      <c r="CZ12" s="723"/>
      <c r="DA12" s="723"/>
      <c r="DB12" s="723"/>
      <c r="DC12" s="723"/>
      <c r="DD12" s="723"/>
      <c r="DE12" s="723"/>
      <c r="DF12" s="723"/>
      <c r="DG12" s="723"/>
      <c r="DH12" s="723"/>
      <c r="DI12" s="723"/>
      <c r="DJ12" s="723"/>
      <c r="DK12" s="723"/>
      <c r="DL12" s="723"/>
      <c r="DM12" s="723"/>
      <c r="DN12" s="723"/>
      <c r="DO12" s="723"/>
      <c r="DP12" s="723"/>
      <c r="DQ12" s="723"/>
      <c r="DR12" s="723"/>
      <c r="DS12" s="723"/>
      <c r="DT12" s="723"/>
      <c r="DU12" s="723"/>
      <c r="DV12" s="723"/>
      <c r="DW12" s="723"/>
      <c r="DX12" s="723"/>
      <c r="DY12" s="723"/>
      <c r="DZ12" s="723"/>
      <c r="EA12" s="723"/>
      <c r="EB12" s="723"/>
      <c r="EC12" s="723"/>
      <c r="ED12" s="723"/>
      <c r="EE12" s="723"/>
      <c r="EF12" s="723"/>
      <c r="EG12" s="723"/>
      <c r="EH12" s="723"/>
      <c r="EI12" s="723"/>
      <c r="EJ12" s="723"/>
      <c r="EK12" s="723"/>
      <c r="EL12" s="723"/>
      <c r="EM12" s="723"/>
      <c r="EN12" s="723"/>
      <c r="EO12" s="723"/>
      <c r="EP12" s="723"/>
      <c r="EQ12" s="723"/>
      <c r="ER12" s="723"/>
      <c r="ES12" s="723"/>
      <c r="ET12" s="723"/>
      <c r="EU12" s="723"/>
      <c r="EV12" s="723"/>
      <c r="EW12" s="723"/>
      <c r="EX12" s="723"/>
      <c r="EY12" s="723"/>
      <c r="EZ12" s="723"/>
      <c r="FA12" s="723"/>
      <c r="FB12" s="723"/>
      <c r="FC12" s="723"/>
      <c r="FD12" s="723"/>
      <c r="FE12" s="723"/>
      <c r="FF12" s="723"/>
      <c r="FG12" s="723"/>
      <c r="FH12" s="723"/>
      <c r="FI12" s="723"/>
      <c r="FJ12" s="723"/>
      <c r="FK12" s="723"/>
      <c r="FL12" s="723"/>
      <c r="FM12" s="723"/>
      <c r="FN12" s="723"/>
      <c r="FO12" s="723"/>
      <c r="FP12" s="723"/>
      <c r="FQ12" s="723"/>
      <c r="FR12" s="723"/>
      <c r="FS12" s="723"/>
      <c r="FT12" s="723"/>
      <c r="FU12" s="723"/>
      <c r="FV12" s="723"/>
      <c r="FW12" s="723"/>
      <c r="FX12" s="723"/>
      <c r="FY12" s="723"/>
      <c r="FZ12" s="723"/>
      <c r="GA12" s="723"/>
      <c r="GB12" s="723"/>
      <c r="GC12" s="723"/>
      <c r="GD12" s="723"/>
      <c r="GE12" s="723"/>
      <c r="GF12" s="723"/>
      <c r="GG12" s="723"/>
      <c r="GH12" s="723"/>
      <c r="GI12" s="723"/>
      <c r="GJ12" s="723"/>
      <c r="GK12" s="723"/>
      <c r="GL12" s="723"/>
      <c r="GM12" s="723"/>
      <c r="GN12" s="723"/>
      <c r="GO12" s="723"/>
      <c r="GP12" s="723"/>
      <c r="GQ12" s="723"/>
      <c r="GR12" s="723"/>
      <c r="GS12" s="723"/>
      <c r="GT12" s="723"/>
      <c r="GU12" s="723"/>
      <c r="GV12" s="723"/>
      <c r="GW12" s="723"/>
      <c r="GX12" s="723"/>
      <c r="GY12" s="723"/>
      <c r="GZ12" s="723"/>
      <c r="HA12" s="723"/>
      <c r="HB12" s="723"/>
      <c r="HC12" s="723"/>
      <c r="HD12" s="723"/>
      <c r="HE12" s="723"/>
      <c r="HF12" s="723"/>
      <c r="HG12" s="723"/>
      <c r="HH12" s="723"/>
      <c r="HI12" s="723"/>
      <c r="HJ12" s="723"/>
      <c r="HK12" s="723"/>
      <c r="HL12" s="723"/>
      <c r="HM12" s="723"/>
      <c r="HN12" s="723"/>
      <c r="HO12" s="723"/>
      <c r="HP12" s="723"/>
      <c r="HQ12" s="723"/>
      <c r="HR12" s="723"/>
      <c r="HS12" s="723"/>
      <c r="HT12" s="723"/>
      <c r="HU12" s="723"/>
      <c r="HV12" s="723"/>
      <c r="HW12" s="723"/>
      <c r="HX12" s="723"/>
      <c r="HY12" s="723"/>
      <c r="HZ12" s="723"/>
      <c r="IA12" s="723"/>
      <c r="IB12" s="723"/>
      <c r="IC12" s="723"/>
      <c r="ID12" s="723"/>
      <c r="IE12" s="723"/>
      <c r="IF12" s="723"/>
      <c r="IG12" s="723"/>
      <c r="IH12" s="723"/>
      <c r="II12" s="723"/>
      <c r="IJ12" s="723"/>
      <c r="IK12" s="723"/>
      <c r="IL12" s="723"/>
      <c r="IM12" s="723"/>
      <c r="IN12" s="723"/>
      <c r="IO12" s="723"/>
      <c r="IP12" s="723"/>
      <c r="IQ12" s="723"/>
      <c r="IR12" s="723"/>
    </row>
    <row r="13" spans="1:254" s="857" customFormat="1" ht="15" customHeight="1">
      <c r="A13" s="2468" t="s">
        <v>319</v>
      </c>
      <c r="B13" s="2173"/>
      <c r="C13" s="2172"/>
      <c r="D13" s="54" t="s">
        <v>593</v>
      </c>
      <c r="E13" s="1063"/>
      <c r="F13" s="5" t="s">
        <v>611</v>
      </c>
      <c r="G13" s="1064"/>
      <c r="H13" s="860"/>
      <c r="I13" s="63"/>
      <c r="J13" s="63"/>
      <c r="K13" s="858"/>
      <c r="L13" s="858"/>
      <c r="M13" s="858"/>
      <c r="N13" s="858"/>
      <c r="O13" s="858"/>
      <c r="P13" s="858"/>
      <c r="Q13" s="858"/>
      <c r="R13" s="849"/>
      <c r="S13" s="849"/>
      <c r="T13" s="849"/>
      <c r="U13" s="849"/>
      <c r="V13" s="849"/>
      <c r="W13" s="849"/>
      <c r="X13" s="849"/>
      <c r="Y13" s="849"/>
      <c r="Z13" s="849"/>
      <c r="AA13" s="849"/>
      <c r="AB13" s="849"/>
      <c r="AC13" s="849"/>
      <c r="AD13" s="849"/>
      <c r="AE13" s="849"/>
      <c r="AF13" s="849"/>
      <c r="AG13" s="849"/>
      <c r="AH13" s="849"/>
      <c r="AI13" s="849"/>
      <c r="AJ13" s="849"/>
      <c r="AK13" s="849"/>
      <c r="AL13" s="849"/>
      <c r="AM13" s="849"/>
      <c r="AN13" s="849"/>
      <c r="AO13" s="849"/>
      <c r="AP13" s="849"/>
      <c r="AQ13" s="849"/>
      <c r="AR13" s="849"/>
      <c r="AS13" s="849"/>
      <c r="AT13" s="849"/>
      <c r="AU13" s="849"/>
      <c r="AV13" s="849"/>
      <c r="AW13" s="849"/>
      <c r="AX13" s="849"/>
      <c r="AY13" s="849"/>
      <c r="AZ13" s="849"/>
      <c r="BA13" s="849"/>
      <c r="BB13" s="849"/>
      <c r="BC13" s="849"/>
      <c r="BD13" s="849"/>
      <c r="BE13" s="849"/>
      <c r="BF13" s="849"/>
      <c r="BG13" s="849"/>
      <c r="BH13" s="849"/>
      <c r="BI13" s="849"/>
      <c r="BJ13" s="849"/>
      <c r="BK13" s="849"/>
      <c r="BL13" s="849"/>
      <c r="BM13" s="849"/>
      <c r="BN13" s="849"/>
      <c r="BO13" s="849"/>
      <c r="BP13" s="849"/>
      <c r="BQ13" s="849"/>
      <c r="BR13" s="849"/>
      <c r="BS13" s="849"/>
      <c r="BT13" s="849"/>
      <c r="BU13" s="849"/>
      <c r="BV13" s="849"/>
      <c r="BW13" s="849"/>
      <c r="BX13" s="849"/>
      <c r="BY13" s="849"/>
      <c r="BZ13" s="849"/>
      <c r="CA13" s="849"/>
      <c r="CB13" s="849"/>
      <c r="CC13" s="849"/>
      <c r="CD13" s="849"/>
      <c r="CE13" s="849"/>
      <c r="CF13" s="849"/>
      <c r="CG13" s="849"/>
      <c r="CH13" s="849"/>
      <c r="CI13" s="849"/>
      <c r="CJ13" s="849"/>
      <c r="CK13" s="849"/>
      <c r="CL13" s="849"/>
      <c r="CM13" s="849"/>
      <c r="CN13" s="849"/>
      <c r="CO13" s="849"/>
      <c r="CP13" s="849"/>
      <c r="CQ13" s="849"/>
      <c r="CR13" s="849"/>
      <c r="CS13" s="849"/>
      <c r="CT13" s="849"/>
      <c r="CU13" s="849"/>
      <c r="CV13" s="849"/>
      <c r="CW13" s="849"/>
      <c r="CX13" s="849"/>
      <c r="CY13" s="849"/>
      <c r="CZ13" s="849"/>
      <c r="DA13" s="849"/>
      <c r="DB13" s="849"/>
      <c r="DC13" s="849"/>
      <c r="DD13" s="849"/>
      <c r="DE13" s="849"/>
      <c r="DF13" s="849"/>
      <c r="DG13" s="849"/>
      <c r="DH13" s="849"/>
      <c r="DI13" s="849"/>
      <c r="DJ13" s="849"/>
      <c r="DK13" s="849"/>
      <c r="DL13" s="849"/>
      <c r="DM13" s="849"/>
      <c r="DN13" s="849"/>
      <c r="DO13" s="849"/>
      <c r="DP13" s="849"/>
      <c r="DQ13" s="849"/>
      <c r="DR13" s="849"/>
      <c r="DS13" s="849"/>
      <c r="DT13" s="849"/>
      <c r="DU13" s="849"/>
      <c r="DV13" s="849"/>
      <c r="DW13" s="849"/>
      <c r="DX13" s="849"/>
      <c r="DY13" s="849"/>
      <c r="DZ13" s="849"/>
      <c r="EA13" s="849"/>
      <c r="EB13" s="849"/>
      <c r="EC13" s="849"/>
      <c r="ED13" s="849"/>
      <c r="EE13" s="849"/>
      <c r="EF13" s="849"/>
      <c r="EG13" s="849"/>
      <c r="EH13" s="849"/>
      <c r="EI13" s="849"/>
      <c r="EJ13" s="849"/>
      <c r="EK13" s="849"/>
      <c r="EL13" s="849"/>
      <c r="EM13" s="849"/>
      <c r="EN13" s="849"/>
      <c r="EO13" s="849"/>
      <c r="EP13" s="849"/>
      <c r="EQ13" s="849"/>
      <c r="ER13" s="849"/>
      <c r="ES13" s="849"/>
      <c r="ET13" s="849"/>
      <c r="EU13" s="849"/>
      <c r="EV13" s="849"/>
      <c r="EW13" s="849"/>
      <c r="EX13" s="849"/>
      <c r="EY13" s="849"/>
      <c r="EZ13" s="849"/>
      <c r="FA13" s="849"/>
      <c r="FB13" s="849"/>
      <c r="FC13" s="849"/>
      <c r="FD13" s="849"/>
      <c r="FE13" s="849"/>
      <c r="FF13" s="849"/>
      <c r="FG13" s="849"/>
      <c r="FH13" s="849"/>
      <c r="FI13" s="849"/>
      <c r="FJ13" s="849"/>
      <c r="FK13" s="849"/>
      <c r="FL13" s="849"/>
      <c r="FM13" s="849"/>
      <c r="FN13" s="849"/>
      <c r="FO13" s="849"/>
      <c r="FP13" s="849"/>
      <c r="FQ13" s="849"/>
      <c r="FR13" s="849"/>
      <c r="FS13" s="849"/>
      <c r="FT13" s="849"/>
      <c r="FU13" s="849"/>
      <c r="FV13" s="849"/>
      <c r="FW13" s="849"/>
      <c r="FX13" s="849"/>
      <c r="FY13" s="849"/>
      <c r="FZ13" s="849"/>
      <c r="GA13" s="849"/>
      <c r="GB13" s="849"/>
      <c r="GC13" s="849"/>
      <c r="GD13" s="849"/>
      <c r="GE13" s="849"/>
      <c r="GF13" s="849"/>
      <c r="GG13" s="849"/>
      <c r="GH13" s="849"/>
      <c r="GI13" s="849"/>
      <c r="GJ13" s="849"/>
      <c r="GK13" s="849"/>
      <c r="GL13" s="849"/>
      <c r="GM13" s="849"/>
      <c r="GN13" s="849"/>
      <c r="GO13" s="849"/>
      <c r="GP13" s="849"/>
      <c r="GQ13" s="849"/>
      <c r="GR13" s="849"/>
      <c r="GS13" s="849"/>
      <c r="GT13" s="849"/>
      <c r="GU13" s="849"/>
      <c r="GV13" s="849"/>
      <c r="GW13" s="849"/>
      <c r="GX13" s="849"/>
      <c r="GY13" s="849"/>
      <c r="GZ13" s="849"/>
      <c r="HA13" s="849"/>
      <c r="HB13" s="849"/>
      <c r="HC13" s="849"/>
      <c r="HD13" s="849"/>
      <c r="HE13" s="849"/>
      <c r="HF13" s="849"/>
      <c r="HG13" s="849"/>
      <c r="HH13" s="849"/>
      <c r="HI13" s="849"/>
      <c r="HJ13" s="849"/>
      <c r="HK13" s="849"/>
      <c r="HL13" s="849"/>
      <c r="HM13" s="849"/>
      <c r="HN13" s="849"/>
      <c r="HO13" s="849"/>
      <c r="HP13" s="849"/>
      <c r="HQ13" s="849"/>
      <c r="HR13" s="849"/>
      <c r="HS13" s="849"/>
      <c r="HT13" s="849"/>
      <c r="HU13" s="849"/>
      <c r="HV13" s="849"/>
      <c r="HW13" s="849"/>
      <c r="HX13" s="849"/>
      <c r="HY13" s="849"/>
      <c r="HZ13" s="849"/>
      <c r="IA13" s="849"/>
      <c r="IB13" s="849"/>
      <c r="IC13" s="849"/>
      <c r="ID13" s="849"/>
      <c r="IE13" s="849"/>
      <c r="IF13" s="849"/>
      <c r="IG13" s="849"/>
      <c r="IH13" s="849"/>
      <c r="II13" s="849"/>
      <c r="IJ13" s="849"/>
      <c r="IK13" s="849"/>
      <c r="IL13" s="849"/>
      <c r="IM13" s="849"/>
      <c r="IN13" s="849"/>
      <c r="IO13" s="849"/>
      <c r="IP13" s="849"/>
      <c r="IQ13" s="849"/>
      <c r="IR13" s="849"/>
      <c r="IS13" s="849"/>
      <c r="IT13" s="849"/>
    </row>
    <row r="14" spans="1:254" s="857" customFormat="1" ht="15" customHeight="1" thickBot="1">
      <c r="A14" s="2469" t="s">
        <v>204</v>
      </c>
      <c r="B14" s="2470"/>
      <c r="C14" s="2471"/>
      <c r="D14" s="54" t="s">
        <v>593</v>
      </c>
      <c r="E14" s="1063"/>
      <c r="F14" s="5" t="s">
        <v>611</v>
      </c>
      <c r="G14" s="1064"/>
      <c r="H14" s="859"/>
      <c r="I14" s="63"/>
      <c r="J14" s="63"/>
      <c r="K14" s="858"/>
      <c r="L14" s="858"/>
      <c r="M14" s="858"/>
      <c r="N14" s="858"/>
      <c r="O14" s="858"/>
      <c r="P14" s="858"/>
      <c r="Q14" s="858"/>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c r="BM14" s="849"/>
      <c r="BN14" s="849"/>
      <c r="BO14" s="849"/>
      <c r="BP14" s="849"/>
      <c r="BQ14" s="849"/>
      <c r="BR14" s="849"/>
      <c r="BS14" s="849"/>
      <c r="BT14" s="849"/>
      <c r="BU14" s="849"/>
      <c r="BV14" s="849"/>
      <c r="BW14" s="849"/>
      <c r="BX14" s="849"/>
      <c r="BY14" s="849"/>
      <c r="BZ14" s="849"/>
      <c r="CA14" s="849"/>
      <c r="CB14" s="849"/>
      <c r="CC14" s="849"/>
      <c r="CD14" s="849"/>
      <c r="CE14" s="849"/>
      <c r="CF14" s="849"/>
      <c r="CG14" s="849"/>
      <c r="CH14" s="849"/>
      <c r="CI14" s="849"/>
      <c r="CJ14" s="849"/>
      <c r="CK14" s="849"/>
      <c r="CL14" s="849"/>
      <c r="CM14" s="849"/>
      <c r="CN14" s="849"/>
      <c r="CO14" s="849"/>
      <c r="CP14" s="849"/>
      <c r="CQ14" s="849"/>
      <c r="CR14" s="849"/>
      <c r="CS14" s="849"/>
      <c r="CT14" s="849"/>
      <c r="CU14" s="849"/>
      <c r="CV14" s="849"/>
      <c r="CW14" s="849"/>
      <c r="CX14" s="849"/>
      <c r="CY14" s="849"/>
      <c r="CZ14" s="849"/>
      <c r="DA14" s="849"/>
      <c r="DB14" s="849"/>
      <c r="DC14" s="849"/>
      <c r="DD14" s="849"/>
      <c r="DE14" s="849"/>
      <c r="DF14" s="849"/>
      <c r="DG14" s="849"/>
      <c r="DH14" s="849"/>
      <c r="DI14" s="849"/>
      <c r="DJ14" s="849"/>
      <c r="DK14" s="849"/>
      <c r="DL14" s="849"/>
      <c r="DM14" s="849"/>
      <c r="DN14" s="849"/>
      <c r="DO14" s="849"/>
      <c r="DP14" s="849"/>
      <c r="DQ14" s="849"/>
      <c r="DR14" s="849"/>
      <c r="DS14" s="849"/>
      <c r="DT14" s="849"/>
      <c r="DU14" s="849"/>
      <c r="DV14" s="849"/>
      <c r="DW14" s="849"/>
      <c r="DX14" s="849"/>
      <c r="DY14" s="849"/>
      <c r="DZ14" s="849"/>
      <c r="EA14" s="849"/>
      <c r="EB14" s="849"/>
      <c r="EC14" s="849"/>
      <c r="ED14" s="849"/>
      <c r="EE14" s="849"/>
      <c r="EF14" s="849"/>
      <c r="EG14" s="849"/>
      <c r="EH14" s="849"/>
      <c r="EI14" s="849"/>
      <c r="EJ14" s="849"/>
      <c r="EK14" s="849"/>
      <c r="EL14" s="849"/>
      <c r="EM14" s="849"/>
      <c r="EN14" s="849"/>
      <c r="EO14" s="849"/>
      <c r="EP14" s="849"/>
      <c r="EQ14" s="849"/>
      <c r="ER14" s="849"/>
      <c r="ES14" s="849"/>
      <c r="ET14" s="849"/>
      <c r="EU14" s="849"/>
      <c r="EV14" s="849"/>
      <c r="EW14" s="849"/>
      <c r="EX14" s="849"/>
      <c r="EY14" s="849"/>
      <c r="EZ14" s="849"/>
      <c r="FA14" s="849"/>
      <c r="FB14" s="849"/>
      <c r="FC14" s="849"/>
      <c r="FD14" s="849"/>
      <c r="FE14" s="849"/>
      <c r="FF14" s="849"/>
      <c r="FG14" s="849"/>
      <c r="FH14" s="849"/>
      <c r="FI14" s="849"/>
      <c r="FJ14" s="849"/>
      <c r="FK14" s="849"/>
      <c r="FL14" s="849"/>
      <c r="FM14" s="849"/>
      <c r="FN14" s="849"/>
      <c r="FO14" s="849"/>
      <c r="FP14" s="849"/>
      <c r="FQ14" s="849"/>
      <c r="FR14" s="849"/>
      <c r="FS14" s="849"/>
      <c r="FT14" s="849"/>
      <c r="FU14" s="849"/>
      <c r="FV14" s="849"/>
      <c r="FW14" s="849"/>
      <c r="FX14" s="849"/>
      <c r="FY14" s="849"/>
      <c r="FZ14" s="849"/>
      <c r="GA14" s="849"/>
      <c r="GB14" s="849"/>
      <c r="GC14" s="849"/>
      <c r="GD14" s="849"/>
      <c r="GE14" s="849"/>
      <c r="GF14" s="849"/>
      <c r="GG14" s="849"/>
      <c r="GH14" s="849"/>
      <c r="GI14" s="849"/>
      <c r="GJ14" s="849"/>
      <c r="GK14" s="849"/>
      <c r="GL14" s="849"/>
      <c r="GM14" s="849"/>
      <c r="GN14" s="849"/>
      <c r="GO14" s="849"/>
      <c r="GP14" s="849"/>
      <c r="GQ14" s="849"/>
      <c r="GR14" s="849"/>
      <c r="GS14" s="849"/>
      <c r="GT14" s="849"/>
      <c r="GU14" s="849"/>
      <c r="GV14" s="849"/>
      <c r="GW14" s="849"/>
      <c r="GX14" s="849"/>
      <c r="GY14" s="849"/>
      <c r="GZ14" s="849"/>
      <c r="HA14" s="849"/>
      <c r="HB14" s="849"/>
      <c r="HC14" s="849"/>
      <c r="HD14" s="849"/>
      <c r="HE14" s="849"/>
      <c r="HF14" s="849"/>
      <c r="HG14" s="849"/>
      <c r="HH14" s="849"/>
      <c r="HI14" s="849"/>
      <c r="HJ14" s="849"/>
      <c r="HK14" s="849"/>
      <c r="HL14" s="849"/>
      <c r="HM14" s="849"/>
      <c r="HN14" s="849"/>
      <c r="HO14" s="849"/>
      <c r="HP14" s="849"/>
      <c r="HQ14" s="849"/>
      <c r="HR14" s="849"/>
      <c r="HS14" s="849"/>
      <c r="HT14" s="849"/>
      <c r="HU14" s="849"/>
      <c r="HV14" s="849"/>
      <c r="HW14" s="849"/>
      <c r="HX14" s="849"/>
      <c r="HY14" s="849"/>
      <c r="HZ14" s="849"/>
      <c r="IA14" s="849"/>
      <c r="IB14" s="849"/>
      <c r="IC14" s="849"/>
      <c r="ID14" s="849"/>
      <c r="IE14" s="849"/>
      <c r="IF14" s="849"/>
      <c r="IG14" s="849"/>
      <c r="IH14" s="849"/>
      <c r="II14" s="849"/>
      <c r="IJ14" s="849"/>
      <c r="IK14" s="849"/>
      <c r="IL14" s="849"/>
      <c r="IM14" s="849"/>
      <c r="IN14" s="849"/>
      <c r="IO14" s="849"/>
      <c r="IP14" s="849"/>
      <c r="IQ14" s="849"/>
      <c r="IR14" s="849"/>
      <c r="IS14" s="849"/>
      <c r="IT14" s="849"/>
    </row>
    <row r="15" spans="1:254" ht="21" customHeight="1">
      <c r="A15" s="72"/>
      <c r="B15" s="72"/>
      <c r="C15" s="72"/>
      <c r="D15" s="72"/>
      <c r="E15" s="72"/>
      <c r="F15" s="72"/>
      <c r="G15" s="72"/>
      <c r="H15" s="72"/>
      <c r="I15" s="72"/>
      <c r="J15" s="72"/>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849"/>
      <c r="AZ15" s="849"/>
      <c r="BA15" s="849"/>
      <c r="BB15" s="849"/>
      <c r="BC15" s="849"/>
      <c r="BD15" s="849"/>
      <c r="BE15" s="849"/>
      <c r="BF15" s="849"/>
      <c r="BG15" s="849"/>
      <c r="BH15" s="849"/>
      <c r="BI15" s="849"/>
      <c r="BJ15" s="849"/>
      <c r="BK15" s="849"/>
      <c r="BL15" s="849"/>
      <c r="BM15" s="849"/>
      <c r="BN15" s="849"/>
      <c r="BO15" s="849"/>
      <c r="BP15" s="849"/>
      <c r="BQ15" s="849"/>
      <c r="BR15" s="849"/>
      <c r="BS15" s="849"/>
      <c r="BT15" s="849"/>
      <c r="BU15" s="849"/>
      <c r="BV15" s="849"/>
      <c r="BW15" s="849"/>
      <c r="BX15" s="849"/>
      <c r="BY15" s="849"/>
      <c r="BZ15" s="849"/>
      <c r="CA15" s="849"/>
      <c r="CB15" s="849"/>
      <c r="CC15" s="849"/>
      <c r="CD15" s="849"/>
      <c r="CE15" s="849"/>
      <c r="CF15" s="849"/>
      <c r="CG15" s="849"/>
      <c r="CH15" s="849"/>
      <c r="CI15" s="849"/>
      <c r="CJ15" s="849"/>
      <c r="CK15" s="849"/>
      <c r="CL15" s="849"/>
      <c r="CM15" s="849"/>
      <c r="CN15" s="849"/>
      <c r="CO15" s="849"/>
      <c r="CP15" s="849"/>
      <c r="CQ15" s="849"/>
      <c r="CR15" s="849"/>
      <c r="CS15" s="849"/>
      <c r="CT15" s="849"/>
      <c r="CU15" s="849"/>
      <c r="CV15" s="849"/>
      <c r="CW15" s="849"/>
      <c r="CX15" s="849"/>
      <c r="CY15" s="849"/>
      <c r="CZ15" s="849"/>
      <c r="DA15" s="849"/>
      <c r="DB15" s="849"/>
      <c r="DC15" s="849"/>
      <c r="DD15" s="849"/>
      <c r="DE15" s="849"/>
      <c r="DF15" s="849"/>
      <c r="DG15" s="849"/>
      <c r="DH15" s="849"/>
      <c r="DI15" s="849"/>
      <c r="DJ15" s="849"/>
      <c r="DK15" s="849"/>
      <c r="DL15" s="849"/>
      <c r="DM15" s="849"/>
      <c r="DN15" s="849"/>
      <c r="DO15" s="849"/>
      <c r="DP15" s="849"/>
      <c r="DQ15" s="849"/>
      <c r="DR15" s="849"/>
      <c r="DS15" s="849"/>
      <c r="DT15" s="849"/>
      <c r="DU15" s="849"/>
      <c r="DV15" s="849"/>
      <c r="DW15" s="849"/>
      <c r="DX15" s="849"/>
      <c r="DY15" s="849"/>
      <c r="DZ15" s="849"/>
      <c r="EA15" s="849"/>
      <c r="EB15" s="849"/>
      <c r="EC15" s="849"/>
      <c r="ED15" s="849"/>
      <c r="EE15" s="849"/>
      <c r="EF15" s="849"/>
      <c r="EG15" s="849"/>
      <c r="EH15" s="849"/>
      <c r="EI15" s="849"/>
      <c r="EJ15" s="849"/>
      <c r="EK15" s="849"/>
      <c r="EL15" s="849"/>
      <c r="EM15" s="849"/>
      <c r="EN15" s="849"/>
      <c r="EO15" s="849"/>
      <c r="EP15" s="849"/>
      <c r="EQ15" s="849"/>
      <c r="ER15" s="849"/>
      <c r="ES15" s="849"/>
      <c r="ET15" s="849"/>
      <c r="EU15" s="849"/>
      <c r="EV15" s="849"/>
      <c r="EW15" s="849"/>
      <c r="EX15" s="849"/>
      <c r="EY15" s="849"/>
      <c r="EZ15" s="849"/>
      <c r="FA15" s="849"/>
      <c r="FB15" s="849"/>
      <c r="FC15" s="849"/>
      <c r="FD15" s="849"/>
      <c r="FE15" s="849"/>
      <c r="FF15" s="849"/>
      <c r="FG15" s="849"/>
      <c r="FH15" s="849"/>
      <c r="FI15" s="849"/>
      <c r="FJ15" s="849"/>
      <c r="FK15" s="849"/>
      <c r="FL15" s="849"/>
      <c r="FM15" s="849"/>
      <c r="FN15" s="849"/>
      <c r="FO15" s="849"/>
      <c r="FP15" s="849"/>
      <c r="FQ15" s="849"/>
      <c r="FR15" s="849"/>
      <c r="FS15" s="849"/>
      <c r="FT15" s="849"/>
      <c r="FU15" s="849"/>
      <c r="FV15" s="849"/>
      <c r="FW15" s="849"/>
      <c r="FX15" s="849"/>
      <c r="FY15" s="849"/>
      <c r="FZ15" s="849"/>
      <c r="GA15" s="849"/>
      <c r="GB15" s="849"/>
      <c r="GC15" s="849"/>
      <c r="GD15" s="849"/>
      <c r="GE15" s="849"/>
      <c r="GF15" s="849"/>
      <c r="GG15" s="849"/>
      <c r="GH15" s="849"/>
      <c r="GI15" s="849"/>
      <c r="GJ15" s="849"/>
      <c r="GK15" s="849"/>
      <c r="GL15" s="849"/>
      <c r="GM15" s="849"/>
      <c r="GN15" s="849"/>
      <c r="GO15" s="849"/>
      <c r="GP15" s="849"/>
      <c r="GQ15" s="849"/>
      <c r="GR15" s="849"/>
      <c r="GS15" s="849"/>
      <c r="GT15" s="849"/>
      <c r="GU15" s="849"/>
      <c r="GV15" s="849"/>
      <c r="GW15" s="849"/>
      <c r="GX15" s="849"/>
      <c r="GY15" s="849"/>
      <c r="GZ15" s="849"/>
      <c r="HA15" s="849"/>
      <c r="HB15" s="849"/>
      <c r="HC15" s="849"/>
      <c r="HD15" s="849"/>
      <c r="HE15" s="849"/>
      <c r="HF15" s="849"/>
      <c r="HG15" s="849"/>
      <c r="HH15" s="849"/>
      <c r="HI15" s="849"/>
      <c r="HJ15" s="849"/>
      <c r="HK15" s="849"/>
      <c r="HL15" s="849"/>
      <c r="HM15" s="849"/>
      <c r="HN15" s="849"/>
      <c r="HO15" s="849"/>
      <c r="HP15" s="849"/>
      <c r="HQ15" s="849"/>
      <c r="HR15" s="849"/>
      <c r="HS15" s="849"/>
      <c r="HT15" s="849"/>
      <c r="HU15" s="849"/>
      <c r="HV15" s="849"/>
      <c r="HW15" s="849"/>
      <c r="HX15" s="849"/>
      <c r="HY15" s="849"/>
      <c r="HZ15" s="849"/>
      <c r="IA15" s="849"/>
      <c r="IB15" s="849"/>
      <c r="IC15" s="849"/>
      <c r="ID15" s="849"/>
      <c r="IE15" s="849"/>
      <c r="IF15" s="849"/>
      <c r="IG15" s="849"/>
      <c r="IH15" s="849"/>
      <c r="II15" s="849"/>
      <c r="IJ15" s="849"/>
      <c r="IK15" s="849"/>
      <c r="IL15" s="849"/>
      <c r="IM15" s="849"/>
      <c r="IN15" s="849"/>
      <c r="IO15" s="849"/>
      <c r="IP15" s="849"/>
      <c r="IQ15" s="849"/>
      <c r="IR15" s="849"/>
      <c r="IS15" s="849"/>
      <c r="IT15" s="849"/>
    </row>
    <row r="16" spans="1:254" s="848" customFormat="1" ht="18">
      <c r="A16" s="2141" t="s">
        <v>224</v>
      </c>
      <c r="B16" s="2142"/>
      <c r="C16" s="2142"/>
      <c r="D16" s="2142"/>
      <c r="E16" s="2142"/>
      <c r="F16" s="2142"/>
      <c r="G16" s="2142"/>
      <c r="H16" s="2142"/>
      <c r="I16" s="2142"/>
      <c r="J16" s="2142"/>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49"/>
      <c r="BP16" s="849"/>
      <c r="BQ16" s="849"/>
      <c r="BR16" s="849"/>
      <c r="BS16" s="849"/>
      <c r="BT16" s="849"/>
      <c r="BU16" s="849"/>
      <c r="BV16" s="849"/>
      <c r="BW16" s="849"/>
      <c r="BX16" s="849"/>
      <c r="BY16" s="849"/>
      <c r="BZ16" s="849"/>
      <c r="CA16" s="849"/>
      <c r="CB16" s="849"/>
      <c r="CC16" s="849"/>
      <c r="CD16" s="849"/>
      <c r="CE16" s="849"/>
      <c r="CF16" s="849"/>
      <c r="CG16" s="849"/>
      <c r="CH16" s="849"/>
      <c r="CI16" s="849"/>
      <c r="CJ16" s="849"/>
      <c r="CK16" s="849"/>
      <c r="CL16" s="849"/>
      <c r="CM16" s="849"/>
      <c r="CN16" s="849"/>
      <c r="CO16" s="849"/>
      <c r="CP16" s="849"/>
      <c r="CQ16" s="849"/>
      <c r="CR16" s="849"/>
      <c r="CS16" s="849"/>
      <c r="CT16" s="849"/>
      <c r="CU16" s="849"/>
      <c r="CV16" s="849"/>
      <c r="CW16" s="849"/>
      <c r="CX16" s="849"/>
      <c r="CY16" s="849"/>
      <c r="CZ16" s="849"/>
      <c r="DA16" s="849"/>
      <c r="DB16" s="849"/>
      <c r="DC16" s="849"/>
      <c r="DD16" s="849"/>
      <c r="DE16" s="849"/>
      <c r="DF16" s="849"/>
      <c r="DG16" s="849"/>
      <c r="DH16" s="849"/>
      <c r="DI16" s="849"/>
      <c r="DJ16" s="849"/>
      <c r="DK16" s="849"/>
      <c r="DL16" s="849"/>
      <c r="DM16" s="849"/>
      <c r="DN16" s="849"/>
      <c r="DO16" s="849"/>
      <c r="DP16" s="849"/>
      <c r="DQ16" s="849"/>
      <c r="DR16" s="849"/>
      <c r="DS16" s="849"/>
      <c r="DT16" s="849"/>
      <c r="DU16" s="849"/>
      <c r="DV16" s="849"/>
      <c r="DW16" s="849"/>
      <c r="DX16" s="849"/>
      <c r="DY16" s="849"/>
      <c r="DZ16" s="849"/>
      <c r="EA16" s="849"/>
      <c r="EB16" s="849"/>
      <c r="EC16" s="849"/>
      <c r="ED16" s="849"/>
      <c r="EE16" s="849"/>
      <c r="EF16" s="849"/>
      <c r="EG16" s="849"/>
      <c r="EH16" s="849"/>
      <c r="EI16" s="849"/>
      <c r="EJ16" s="849"/>
      <c r="EK16" s="849"/>
      <c r="EL16" s="849"/>
      <c r="EM16" s="849"/>
      <c r="EN16" s="849"/>
      <c r="EO16" s="849"/>
      <c r="EP16" s="849"/>
      <c r="EQ16" s="849"/>
      <c r="ER16" s="849"/>
      <c r="ES16" s="849"/>
      <c r="ET16" s="849"/>
      <c r="EU16" s="849"/>
      <c r="EV16" s="849"/>
      <c r="EW16" s="849"/>
      <c r="EX16" s="849"/>
      <c r="EY16" s="849"/>
      <c r="EZ16" s="849"/>
      <c r="FA16" s="849"/>
      <c r="FB16" s="849"/>
      <c r="FC16" s="849"/>
      <c r="FD16" s="849"/>
      <c r="FE16" s="849"/>
      <c r="FF16" s="849"/>
      <c r="FG16" s="849"/>
      <c r="FH16" s="849"/>
      <c r="FI16" s="849"/>
      <c r="FJ16" s="849"/>
      <c r="FK16" s="849"/>
      <c r="FL16" s="849"/>
      <c r="FM16" s="849"/>
      <c r="FN16" s="849"/>
      <c r="FO16" s="849"/>
      <c r="FP16" s="849"/>
      <c r="FQ16" s="849"/>
      <c r="FR16" s="849"/>
      <c r="FS16" s="849"/>
      <c r="FT16" s="849"/>
      <c r="FU16" s="849"/>
      <c r="FV16" s="849"/>
      <c r="FW16" s="849"/>
      <c r="FX16" s="849"/>
      <c r="FY16" s="849"/>
      <c r="FZ16" s="849"/>
      <c r="GA16" s="849"/>
      <c r="GB16" s="849"/>
      <c r="GC16" s="849"/>
      <c r="GD16" s="849"/>
      <c r="GE16" s="849"/>
      <c r="GF16" s="849"/>
      <c r="GG16" s="849"/>
      <c r="GH16" s="849"/>
      <c r="GI16" s="849"/>
      <c r="GJ16" s="849"/>
      <c r="GK16" s="849"/>
      <c r="GL16" s="849"/>
      <c r="GM16" s="849"/>
      <c r="GN16" s="849"/>
      <c r="GO16" s="849"/>
      <c r="GP16" s="849"/>
      <c r="GQ16" s="849"/>
      <c r="GR16" s="849"/>
      <c r="GS16" s="849"/>
      <c r="GT16" s="849"/>
      <c r="GU16" s="849"/>
      <c r="GV16" s="849"/>
      <c r="GW16" s="849"/>
      <c r="GX16" s="849"/>
      <c r="GY16" s="849"/>
      <c r="GZ16" s="849"/>
      <c r="HA16" s="849"/>
      <c r="HB16" s="849"/>
      <c r="HC16" s="849"/>
      <c r="HD16" s="849"/>
      <c r="HE16" s="849"/>
      <c r="HF16" s="849"/>
      <c r="HG16" s="849"/>
      <c r="HH16" s="849"/>
      <c r="HI16" s="849"/>
      <c r="HJ16" s="849"/>
      <c r="HK16" s="849"/>
      <c r="HL16" s="849"/>
      <c r="HM16" s="849"/>
      <c r="HN16" s="849"/>
      <c r="HO16" s="849"/>
      <c r="HP16" s="849"/>
      <c r="HQ16" s="849"/>
      <c r="HR16" s="849"/>
      <c r="HS16" s="849"/>
      <c r="HT16" s="849"/>
      <c r="HU16" s="849"/>
      <c r="HV16" s="849"/>
      <c r="HW16" s="849"/>
      <c r="HX16" s="849"/>
      <c r="HY16" s="849"/>
      <c r="HZ16" s="849"/>
      <c r="IA16" s="849"/>
      <c r="IB16" s="849"/>
      <c r="IC16" s="849"/>
      <c r="ID16" s="849"/>
      <c r="IE16" s="849"/>
      <c r="IF16" s="849"/>
      <c r="IG16" s="849"/>
      <c r="IH16" s="849"/>
      <c r="II16" s="849"/>
      <c r="IJ16" s="849"/>
      <c r="IK16" s="849"/>
      <c r="IL16" s="849"/>
      <c r="IM16" s="849"/>
      <c r="IN16" s="849"/>
      <c r="IO16" s="849"/>
      <c r="IP16" s="849"/>
      <c r="IQ16" s="849"/>
      <c r="IR16" s="849"/>
      <c r="IS16" s="849"/>
      <c r="IT16" s="849"/>
    </row>
    <row r="17" spans="1:10" s="844" customFormat="1" ht="22.5" customHeight="1">
      <c r="A17" s="75" t="s">
        <v>181</v>
      </c>
      <c r="B17" s="845"/>
      <c r="C17" s="845"/>
      <c r="D17" s="845"/>
      <c r="E17" s="845"/>
      <c r="F17" s="845"/>
      <c r="G17" s="845"/>
      <c r="H17" s="845"/>
      <c r="I17" s="845"/>
      <c r="J17" s="856" t="s">
        <v>180</v>
      </c>
    </row>
    <row r="18" spans="1:10" s="844" customFormat="1" ht="22.5" customHeight="1">
      <c r="A18" s="75"/>
      <c r="B18" s="845"/>
      <c r="C18" s="845"/>
      <c r="D18" s="845"/>
      <c r="E18" s="845"/>
      <c r="F18" s="845"/>
      <c r="G18" s="845"/>
      <c r="H18" s="845"/>
      <c r="I18" s="845"/>
      <c r="J18" s="856"/>
    </row>
    <row r="19" spans="1:10" s="844" customFormat="1" ht="14.25">
      <c r="A19" s="75"/>
      <c r="B19" s="2473" t="s">
        <v>610</v>
      </c>
      <c r="C19" s="2472" t="s">
        <v>179</v>
      </c>
      <c r="D19" s="2467"/>
      <c r="E19" s="2467"/>
      <c r="F19" s="2467"/>
      <c r="G19" s="2467"/>
      <c r="H19" s="2467"/>
      <c r="I19" s="2467"/>
      <c r="J19" s="2474"/>
    </row>
    <row r="20" spans="1:10" s="844" customFormat="1" ht="14.25">
      <c r="A20" s="853">
        <v>1</v>
      </c>
      <c r="B20" s="2465"/>
      <c r="C20" s="2467"/>
      <c r="D20" s="2467"/>
      <c r="E20" s="2467"/>
      <c r="F20" s="2467"/>
      <c r="G20" s="2467"/>
      <c r="H20" s="2467"/>
      <c r="I20" s="2467"/>
      <c r="J20" s="2475"/>
    </row>
    <row r="21" spans="1:10" s="844" customFormat="1" ht="14.25">
      <c r="A21" s="853"/>
      <c r="B21" s="2464" t="s">
        <v>610</v>
      </c>
      <c r="C21" s="2472" t="s">
        <v>178</v>
      </c>
      <c r="D21" s="2467"/>
      <c r="E21" s="2467"/>
      <c r="F21" s="2467"/>
      <c r="G21" s="2467"/>
      <c r="H21" s="2467"/>
      <c r="I21" s="2467"/>
      <c r="J21" s="2460"/>
    </row>
    <row r="22" spans="1:10" s="844" customFormat="1" ht="14.25">
      <c r="A22" s="853">
        <v>2</v>
      </c>
      <c r="B22" s="2465"/>
      <c r="C22" s="2467"/>
      <c r="D22" s="2467"/>
      <c r="E22" s="2467"/>
      <c r="F22" s="2467"/>
      <c r="G22" s="2467"/>
      <c r="H22" s="2467"/>
      <c r="I22" s="2467"/>
      <c r="J22" s="2444"/>
    </row>
    <row r="23" spans="1:10" s="844" customFormat="1" ht="14.25">
      <c r="A23" s="853"/>
      <c r="B23" s="2464" t="s">
        <v>610</v>
      </c>
      <c r="C23" s="2466" t="s">
        <v>177</v>
      </c>
      <c r="D23" s="2467"/>
      <c r="E23" s="2467"/>
      <c r="F23" s="2467"/>
      <c r="G23" s="2467"/>
      <c r="H23" s="2467"/>
      <c r="I23" s="854"/>
      <c r="J23" s="2443"/>
    </row>
    <row r="24" spans="1:10" s="844" customFormat="1" ht="14.25">
      <c r="A24" s="853">
        <v>3</v>
      </c>
      <c r="B24" s="2465"/>
      <c r="C24" s="2467"/>
      <c r="D24" s="2467"/>
      <c r="E24" s="2467"/>
      <c r="F24" s="2467"/>
      <c r="G24" s="2467"/>
      <c r="H24" s="2467"/>
      <c r="I24" s="854"/>
      <c r="J24" s="2444"/>
    </row>
    <row r="25" spans="1:10" s="844" customFormat="1" ht="14.25">
      <c r="A25" s="853"/>
      <c r="B25" s="2464" t="s">
        <v>610</v>
      </c>
      <c r="C25" s="2466" t="s">
        <v>176</v>
      </c>
      <c r="D25" s="2446"/>
      <c r="E25" s="2446"/>
      <c r="F25" s="2446"/>
      <c r="G25" s="2446"/>
      <c r="H25" s="2446"/>
      <c r="I25" s="854"/>
      <c r="J25" s="2443"/>
    </row>
    <row r="26" spans="1:10" s="844" customFormat="1" ht="14.25">
      <c r="A26" s="853">
        <v>4</v>
      </c>
      <c r="B26" s="2465"/>
      <c r="C26" s="2446"/>
      <c r="D26" s="2446"/>
      <c r="E26" s="2446"/>
      <c r="F26" s="2446"/>
      <c r="G26" s="2446"/>
      <c r="H26" s="2446"/>
      <c r="I26" s="855"/>
      <c r="J26" s="2444"/>
    </row>
    <row r="27" spans="1:10" s="844" customFormat="1" ht="14.25">
      <c r="A27" s="853"/>
      <c r="B27" s="2464" t="s">
        <v>610</v>
      </c>
      <c r="C27" s="2445" t="s">
        <v>320</v>
      </c>
      <c r="D27" s="2446"/>
      <c r="E27" s="2446"/>
      <c r="F27" s="2446"/>
      <c r="G27" s="2446"/>
      <c r="H27" s="2446"/>
      <c r="I27" s="855"/>
      <c r="J27" s="2443"/>
    </row>
    <row r="28" spans="1:10" s="844" customFormat="1" ht="14.25">
      <c r="A28" s="853">
        <v>5</v>
      </c>
      <c r="B28" s="2465"/>
      <c r="C28" s="2446"/>
      <c r="D28" s="2446"/>
      <c r="E28" s="2446"/>
      <c r="F28" s="2446"/>
      <c r="G28" s="2446"/>
      <c r="H28" s="2446"/>
      <c r="I28" s="854"/>
      <c r="J28" s="2444"/>
    </row>
    <row r="29" spans="1:10" s="844" customFormat="1" ht="14.25">
      <c r="A29" s="853"/>
      <c r="B29" s="2464" t="s">
        <v>610</v>
      </c>
      <c r="C29" s="2445" t="s">
        <v>321</v>
      </c>
      <c r="D29" s="2446"/>
      <c r="E29" s="2446"/>
      <c r="F29" s="2446"/>
      <c r="G29" s="2446"/>
      <c r="H29" s="2446"/>
      <c r="I29" s="2446"/>
      <c r="J29" s="2460"/>
    </row>
    <row r="30" spans="1:10" s="844" customFormat="1" ht="14.25">
      <c r="A30" s="853">
        <v>6</v>
      </c>
      <c r="B30" s="2465"/>
      <c r="C30" s="2446"/>
      <c r="D30" s="2446"/>
      <c r="E30" s="2446"/>
      <c r="F30" s="2446"/>
      <c r="G30" s="2446"/>
      <c r="H30" s="2446"/>
      <c r="I30" s="2446"/>
      <c r="J30" s="2461"/>
    </row>
    <row r="31" spans="1:10" s="844" customFormat="1" ht="27" customHeight="1">
      <c r="A31" s="845"/>
      <c r="B31" s="77"/>
      <c r="C31" s="850"/>
      <c r="D31" s="845"/>
      <c r="E31" s="845"/>
      <c r="F31" s="845"/>
      <c r="G31" s="845"/>
      <c r="H31" s="845"/>
      <c r="I31" s="852"/>
      <c r="J31" s="1128"/>
    </row>
    <row r="32" spans="1:10" s="844" customFormat="1" ht="7.5" hidden="1" customHeight="1">
      <c r="A32" s="845"/>
      <c r="B32" s="806"/>
      <c r="C32" s="850"/>
      <c r="D32" s="845"/>
      <c r="E32" s="845"/>
      <c r="F32" s="845"/>
      <c r="G32" s="845"/>
      <c r="H32" s="845"/>
      <c r="I32" s="852"/>
      <c r="J32" s="851"/>
    </row>
    <row r="33" spans="1:254" s="848" customFormat="1" ht="18">
      <c r="A33" s="2462" t="s">
        <v>225</v>
      </c>
      <c r="B33" s="2463"/>
      <c r="C33" s="2463"/>
      <c r="D33" s="2463"/>
      <c r="E33" s="2463"/>
      <c r="F33" s="2463"/>
      <c r="G33" s="2463"/>
      <c r="H33" s="2463"/>
      <c r="I33" s="2463"/>
      <c r="J33" s="2463"/>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49"/>
      <c r="AY33" s="849"/>
      <c r="AZ33" s="849"/>
      <c r="BA33" s="849"/>
      <c r="BB33" s="849"/>
      <c r="BC33" s="849"/>
      <c r="BD33" s="849"/>
      <c r="BE33" s="849"/>
      <c r="BF33" s="849"/>
      <c r="BG33" s="849"/>
      <c r="BH33" s="849"/>
      <c r="BI33" s="849"/>
      <c r="BJ33" s="849"/>
      <c r="BK33" s="849"/>
      <c r="BL33" s="849"/>
      <c r="BM33" s="849"/>
      <c r="BN33" s="849"/>
      <c r="BO33" s="849"/>
      <c r="BP33" s="849"/>
      <c r="BQ33" s="849"/>
      <c r="BR33" s="849"/>
      <c r="BS33" s="849"/>
      <c r="BT33" s="849"/>
      <c r="BU33" s="849"/>
      <c r="BV33" s="849"/>
      <c r="BW33" s="849"/>
      <c r="BX33" s="849"/>
      <c r="BY33" s="849"/>
      <c r="BZ33" s="849"/>
      <c r="CA33" s="849"/>
      <c r="CB33" s="849"/>
      <c r="CC33" s="849"/>
      <c r="CD33" s="849"/>
      <c r="CE33" s="849"/>
      <c r="CF33" s="849"/>
      <c r="CG33" s="849"/>
      <c r="CH33" s="849"/>
      <c r="CI33" s="849"/>
      <c r="CJ33" s="849"/>
      <c r="CK33" s="849"/>
      <c r="CL33" s="849"/>
      <c r="CM33" s="849"/>
      <c r="CN33" s="849"/>
      <c r="CO33" s="849"/>
      <c r="CP33" s="849"/>
      <c r="CQ33" s="849"/>
      <c r="CR33" s="849"/>
      <c r="CS33" s="849"/>
      <c r="CT33" s="849"/>
      <c r="CU33" s="849"/>
      <c r="CV33" s="849"/>
      <c r="CW33" s="849"/>
      <c r="CX33" s="849"/>
      <c r="CY33" s="849"/>
      <c r="CZ33" s="849"/>
      <c r="DA33" s="849"/>
      <c r="DB33" s="849"/>
      <c r="DC33" s="849"/>
      <c r="DD33" s="849"/>
      <c r="DE33" s="849"/>
      <c r="DF33" s="849"/>
      <c r="DG33" s="849"/>
      <c r="DH33" s="849"/>
      <c r="DI33" s="849"/>
      <c r="DJ33" s="849"/>
      <c r="DK33" s="849"/>
      <c r="DL33" s="849"/>
      <c r="DM33" s="849"/>
      <c r="DN33" s="849"/>
      <c r="DO33" s="849"/>
      <c r="DP33" s="849"/>
      <c r="DQ33" s="849"/>
      <c r="DR33" s="849"/>
      <c r="DS33" s="849"/>
      <c r="DT33" s="849"/>
      <c r="DU33" s="849"/>
      <c r="DV33" s="849"/>
      <c r="DW33" s="849"/>
      <c r="DX33" s="849"/>
      <c r="DY33" s="849"/>
      <c r="DZ33" s="849"/>
      <c r="EA33" s="849"/>
      <c r="EB33" s="849"/>
      <c r="EC33" s="849"/>
      <c r="ED33" s="849"/>
      <c r="EE33" s="849"/>
      <c r="EF33" s="849"/>
      <c r="EG33" s="849"/>
      <c r="EH33" s="849"/>
      <c r="EI33" s="849"/>
      <c r="EJ33" s="849"/>
      <c r="EK33" s="849"/>
      <c r="EL33" s="849"/>
      <c r="EM33" s="849"/>
      <c r="EN33" s="849"/>
      <c r="EO33" s="849"/>
      <c r="EP33" s="849"/>
      <c r="EQ33" s="849"/>
      <c r="ER33" s="849"/>
      <c r="ES33" s="849"/>
      <c r="ET33" s="849"/>
      <c r="EU33" s="849"/>
      <c r="EV33" s="849"/>
      <c r="EW33" s="849"/>
      <c r="EX33" s="849"/>
      <c r="EY33" s="849"/>
      <c r="EZ33" s="849"/>
      <c r="FA33" s="849"/>
      <c r="FB33" s="849"/>
      <c r="FC33" s="849"/>
      <c r="FD33" s="849"/>
      <c r="FE33" s="849"/>
      <c r="FF33" s="849"/>
      <c r="FG33" s="849"/>
      <c r="FH33" s="849"/>
      <c r="FI33" s="849"/>
      <c r="FJ33" s="849"/>
      <c r="FK33" s="849"/>
      <c r="FL33" s="849"/>
      <c r="FM33" s="849"/>
      <c r="FN33" s="849"/>
      <c r="FO33" s="849"/>
      <c r="FP33" s="849"/>
      <c r="FQ33" s="849"/>
      <c r="FR33" s="849"/>
      <c r="FS33" s="849"/>
      <c r="FT33" s="849"/>
      <c r="FU33" s="849"/>
      <c r="FV33" s="849"/>
      <c r="FW33" s="849"/>
      <c r="FX33" s="849"/>
      <c r="FY33" s="849"/>
      <c r="FZ33" s="849"/>
      <c r="GA33" s="849"/>
      <c r="GB33" s="849"/>
      <c r="GC33" s="849"/>
      <c r="GD33" s="849"/>
      <c r="GE33" s="849"/>
      <c r="GF33" s="849"/>
      <c r="GG33" s="849"/>
      <c r="GH33" s="849"/>
      <c r="GI33" s="849"/>
      <c r="GJ33" s="849"/>
      <c r="GK33" s="849"/>
      <c r="GL33" s="849"/>
      <c r="GM33" s="849"/>
      <c r="GN33" s="849"/>
      <c r="GO33" s="849"/>
      <c r="GP33" s="849"/>
      <c r="GQ33" s="849"/>
      <c r="GR33" s="849"/>
      <c r="GS33" s="849"/>
      <c r="GT33" s="849"/>
      <c r="GU33" s="849"/>
      <c r="GV33" s="849"/>
      <c r="GW33" s="849"/>
      <c r="GX33" s="849"/>
      <c r="GY33" s="849"/>
      <c r="GZ33" s="849"/>
      <c r="HA33" s="849"/>
      <c r="HB33" s="849"/>
      <c r="HC33" s="849"/>
      <c r="HD33" s="849"/>
      <c r="HE33" s="849"/>
      <c r="HF33" s="849"/>
      <c r="HG33" s="849"/>
      <c r="HH33" s="849"/>
      <c r="HI33" s="849"/>
      <c r="HJ33" s="849"/>
      <c r="HK33" s="849"/>
      <c r="HL33" s="849"/>
      <c r="HM33" s="849"/>
      <c r="HN33" s="849"/>
      <c r="HO33" s="849"/>
      <c r="HP33" s="849"/>
      <c r="HQ33" s="849"/>
      <c r="HR33" s="849"/>
      <c r="HS33" s="849"/>
      <c r="HT33" s="849"/>
      <c r="HU33" s="849"/>
      <c r="HV33" s="849"/>
      <c r="HW33" s="849"/>
      <c r="HX33" s="849"/>
      <c r="HY33" s="849"/>
      <c r="HZ33" s="849"/>
      <c r="IA33" s="849"/>
      <c r="IB33" s="849"/>
      <c r="IC33" s="849"/>
      <c r="ID33" s="849"/>
      <c r="IE33" s="849"/>
      <c r="IF33" s="849"/>
      <c r="IG33" s="849"/>
      <c r="IH33" s="849"/>
      <c r="II33" s="849"/>
      <c r="IJ33" s="849"/>
      <c r="IK33" s="849"/>
      <c r="IL33" s="849"/>
      <c r="IM33" s="849"/>
      <c r="IN33" s="849"/>
      <c r="IO33" s="849"/>
      <c r="IP33" s="849"/>
      <c r="IQ33" s="849"/>
      <c r="IR33" s="849"/>
      <c r="IS33" s="849"/>
      <c r="IT33" s="849"/>
    </row>
    <row r="34" spans="1:254" s="848" customFormat="1" ht="8.25" customHeight="1">
      <c r="A34" s="77"/>
      <c r="B34" s="77"/>
      <c r="C34" s="77"/>
      <c r="D34" s="77"/>
      <c r="E34" s="77"/>
      <c r="F34" s="77"/>
      <c r="G34" s="77"/>
      <c r="H34" s="77"/>
      <c r="I34" s="77"/>
      <c r="J34" s="77"/>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849"/>
      <c r="AX34" s="849"/>
      <c r="AY34" s="849"/>
      <c r="AZ34" s="849"/>
      <c r="BA34" s="849"/>
      <c r="BB34" s="849"/>
      <c r="BC34" s="849"/>
      <c r="BD34" s="849"/>
      <c r="BE34" s="849"/>
      <c r="BF34" s="849"/>
      <c r="BG34" s="849"/>
      <c r="BH34" s="849"/>
      <c r="BI34" s="849"/>
      <c r="BJ34" s="849"/>
      <c r="BK34" s="849"/>
      <c r="BL34" s="849"/>
      <c r="BM34" s="849"/>
      <c r="BN34" s="849"/>
      <c r="BO34" s="849"/>
      <c r="BP34" s="849"/>
      <c r="BQ34" s="849"/>
      <c r="BR34" s="849"/>
      <c r="BS34" s="849"/>
      <c r="BT34" s="849"/>
      <c r="BU34" s="849"/>
      <c r="BV34" s="849"/>
      <c r="BW34" s="849"/>
      <c r="BX34" s="849"/>
      <c r="BY34" s="849"/>
      <c r="BZ34" s="849"/>
      <c r="CA34" s="849"/>
      <c r="CB34" s="849"/>
      <c r="CC34" s="849"/>
      <c r="CD34" s="849"/>
      <c r="CE34" s="849"/>
      <c r="CF34" s="849"/>
      <c r="CG34" s="849"/>
      <c r="CH34" s="849"/>
      <c r="CI34" s="849"/>
      <c r="CJ34" s="849"/>
      <c r="CK34" s="849"/>
      <c r="CL34" s="849"/>
      <c r="CM34" s="849"/>
      <c r="CN34" s="849"/>
      <c r="CO34" s="849"/>
      <c r="CP34" s="849"/>
      <c r="CQ34" s="849"/>
      <c r="CR34" s="849"/>
      <c r="CS34" s="849"/>
      <c r="CT34" s="849"/>
      <c r="CU34" s="849"/>
      <c r="CV34" s="849"/>
      <c r="CW34" s="849"/>
      <c r="CX34" s="849"/>
      <c r="CY34" s="849"/>
      <c r="CZ34" s="849"/>
      <c r="DA34" s="849"/>
      <c r="DB34" s="849"/>
      <c r="DC34" s="849"/>
      <c r="DD34" s="849"/>
      <c r="DE34" s="849"/>
      <c r="DF34" s="849"/>
      <c r="DG34" s="849"/>
      <c r="DH34" s="849"/>
      <c r="DI34" s="849"/>
      <c r="DJ34" s="849"/>
      <c r="DK34" s="849"/>
      <c r="DL34" s="849"/>
      <c r="DM34" s="849"/>
      <c r="DN34" s="849"/>
      <c r="DO34" s="849"/>
      <c r="DP34" s="849"/>
      <c r="DQ34" s="849"/>
      <c r="DR34" s="849"/>
      <c r="DS34" s="849"/>
      <c r="DT34" s="849"/>
      <c r="DU34" s="849"/>
      <c r="DV34" s="849"/>
      <c r="DW34" s="849"/>
      <c r="DX34" s="849"/>
      <c r="DY34" s="849"/>
      <c r="DZ34" s="849"/>
      <c r="EA34" s="849"/>
      <c r="EB34" s="849"/>
      <c r="EC34" s="849"/>
      <c r="ED34" s="849"/>
      <c r="EE34" s="849"/>
      <c r="EF34" s="849"/>
      <c r="EG34" s="849"/>
      <c r="EH34" s="849"/>
      <c r="EI34" s="849"/>
      <c r="EJ34" s="849"/>
      <c r="EK34" s="849"/>
      <c r="EL34" s="849"/>
      <c r="EM34" s="849"/>
      <c r="EN34" s="849"/>
      <c r="EO34" s="849"/>
      <c r="EP34" s="849"/>
      <c r="EQ34" s="849"/>
      <c r="ER34" s="849"/>
      <c r="ES34" s="849"/>
      <c r="ET34" s="849"/>
      <c r="EU34" s="849"/>
      <c r="EV34" s="849"/>
      <c r="EW34" s="849"/>
      <c r="EX34" s="849"/>
      <c r="EY34" s="849"/>
      <c r="EZ34" s="849"/>
      <c r="FA34" s="849"/>
      <c r="FB34" s="849"/>
      <c r="FC34" s="849"/>
      <c r="FD34" s="849"/>
      <c r="FE34" s="849"/>
      <c r="FF34" s="849"/>
      <c r="FG34" s="849"/>
      <c r="FH34" s="849"/>
      <c r="FI34" s="849"/>
      <c r="FJ34" s="849"/>
      <c r="FK34" s="849"/>
      <c r="FL34" s="849"/>
      <c r="FM34" s="849"/>
      <c r="FN34" s="849"/>
      <c r="FO34" s="849"/>
      <c r="FP34" s="849"/>
      <c r="FQ34" s="849"/>
      <c r="FR34" s="849"/>
      <c r="FS34" s="849"/>
      <c r="FT34" s="849"/>
      <c r="FU34" s="849"/>
      <c r="FV34" s="849"/>
      <c r="FW34" s="849"/>
      <c r="FX34" s="849"/>
      <c r="FY34" s="849"/>
      <c r="FZ34" s="849"/>
      <c r="GA34" s="849"/>
      <c r="GB34" s="849"/>
      <c r="GC34" s="849"/>
      <c r="GD34" s="849"/>
      <c r="GE34" s="849"/>
      <c r="GF34" s="849"/>
      <c r="GG34" s="849"/>
      <c r="GH34" s="849"/>
      <c r="GI34" s="849"/>
      <c r="GJ34" s="849"/>
      <c r="GK34" s="849"/>
      <c r="GL34" s="849"/>
      <c r="GM34" s="849"/>
      <c r="GN34" s="849"/>
      <c r="GO34" s="849"/>
      <c r="GP34" s="849"/>
      <c r="GQ34" s="849"/>
      <c r="GR34" s="849"/>
      <c r="GS34" s="849"/>
      <c r="GT34" s="849"/>
      <c r="GU34" s="849"/>
      <c r="GV34" s="849"/>
      <c r="GW34" s="849"/>
      <c r="GX34" s="849"/>
      <c r="GY34" s="849"/>
      <c r="GZ34" s="849"/>
      <c r="HA34" s="849"/>
      <c r="HB34" s="849"/>
      <c r="HC34" s="849"/>
      <c r="HD34" s="849"/>
      <c r="HE34" s="849"/>
      <c r="HF34" s="849"/>
      <c r="HG34" s="849"/>
      <c r="HH34" s="849"/>
      <c r="HI34" s="849"/>
      <c r="HJ34" s="849"/>
      <c r="HK34" s="849"/>
      <c r="HL34" s="849"/>
      <c r="HM34" s="849"/>
      <c r="HN34" s="849"/>
      <c r="HO34" s="849"/>
      <c r="HP34" s="849"/>
      <c r="HQ34" s="849"/>
      <c r="HR34" s="849"/>
      <c r="HS34" s="849"/>
      <c r="HT34" s="849"/>
      <c r="HU34" s="849"/>
      <c r="HV34" s="849"/>
      <c r="HW34" s="849"/>
      <c r="HX34" s="849"/>
      <c r="HY34" s="849"/>
      <c r="HZ34" s="849"/>
      <c r="IA34" s="849"/>
      <c r="IB34" s="849"/>
      <c r="IC34" s="849"/>
      <c r="ID34" s="849"/>
      <c r="IE34" s="849"/>
      <c r="IF34" s="849"/>
      <c r="IG34" s="849"/>
      <c r="IH34" s="849"/>
      <c r="II34" s="849"/>
      <c r="IJ34" s="849"/>
      <c r="IK34" s="849"/>
      <c r="IL34" s="849"/>
      <c r="IM34" s="849"/>
      <c r="IN34" s="849"/>
      <c r="IO34" s="849"/>
      <c r="IP34" s="849"/>
      <c r="IQ34" s="849"/>
      <c r="IR34" s="849"/>
      <c r="IS34" s="849"/>
      <c r="IT34" s="849"/>
    </row>
    <row r="35" spans="1:254" s="848" customFormat="1" ht="24" customHeight="1">
      <c r="A35" s="850" t="s">
        <v>175</v>
      </c>
      <c r="B35" s="77"/>
      <c r="C35" s="77"/>
      <c r="D35" s="77"/>
      <c r="E35" s="77"/>
      <c r="F35" s="77"/>
      <c r="G35" s="77"/>
      <c r="H35" s="77"/>
      <c r="I35" s="77"/>
      <c r="J35" s="77"/>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49"/>
      <c r="AY35" s="849"/>
      <c r="AZ35" s="849"/>
      <c r="BA35" s="849"/>
      <c r="BB35" s="849"/>
      <c r="BC35" s="849"/>
      <c r="BD35" s="849"/>
      <c r="BE35" s="849"/>
      <c r="BF35" s="849"/>
      <c r="BG35" s="849"/>
      <c r="BH35" s="849"/>
      <c r="BI35" s="849"/>
      <c r="BJ35" s="849"/>
      <c r="BK35" s="849"/>
      <c r="BL35" s="849"/>
      <c r="BM35" s="849"/>
      <c r="BN35" s="849"/>
      <c r="BO35" s="849"/>
      <c r="BP35" s="849"/>
      <c r="BQ35" s="849"/>
      <c r="BR35" s="849"/>
      <c r="BS35" s="849"/>
      <c r="BT35" s="849"/>
      <c r="BU35" s="849"/>
      <c r="BV35" s="849"/>
      <c r="BW35" s="849"/>
      <c r="BX35" s="849"/>
      <c r="BY35" s="849"/>
      <c r="BZ35" s="849"/>
      <c r="CA35" s="849"/>
      <c r="CB35" s="849"/>
      <c r="CC35" s="849"/>
      <c r="CD35" s="849"/>
      <c r="CE35" s="849"/>
      <c r="CF35" s="849"/>
      <c r="CG35" s="849"/>
      <c r="CH35" s="849"/>
      <c r="CI35" s="849"/>
      <c r="CJ35" s="849"/>
      <c r="CK35" s="849"/>
      <c r="CL35" s="849"/>
      <c r="CM35" s="849"/>
      <c r="CN35" s="849"/>
      <c r="CO35" s="849"/>
      <c r="CP35" s="849"/>
      <c r="CQ35" s="849"/>
      <c r="CR35" s="849"/>
      <c r="CS35" s="849"/>
      <c r="CT35" s="849"/>
      <c r="CU35" s="849"/>
      <c r="CV35" s="849"/>
      <c r="CW35" s="849"/>
      <c r="CX35" s="849"/>
      <c r="CY35" s="849"/>
      <c r="CZ35" s="849"/>
      <c r="DA35" s="849"/>
      <c r="DB35" s="849"/>
      <c r="DC35" s="849"/>
      <c r="DD35" s="849"/>
      <c r="DE35" s="849"/>
      <c r="DF35" s="849"/>
      <c r="DG35" s="849"/>
      <c r="DH35" s="849"/>
      <c r="DI35" s="849"/>
      <c r="DJ35" s="849"/>
      <c r="DK35" s="849"/>
      <c r="DL35" s="849"/>
      <c r="DM35" s="849"/>
      <c r="DN35" s="849"/>
      <c r="DO35" s="849"/>
      <c r="DP35" s="849"/>
      <c r="DQ35" s="849"/>
      <c r="DR35" s="849"/>
      <c r="DS35" s="849"/>
      <c r="DT35" s="849"/>
      <c r="DU35" s="849"/>
      <c r="DV35" s="849"/>
      <c r="DW35" s="849"/>
      <c r="DX35" s="849"/>
      <c r="DY35" s="849"/>
      <c r="DZ35" s="849"/>
      <c r="EA35" s="849"/>
      <c r="EB35" s="849"/>
      <c r="EC35" s="849"/>
      <c r="ED35" s="849"/>
      <c r="EE35" s="849"/>
      <c r="EF35" s="849"/>
      <c r="EG35" s="849"/>
      <c r="EH35" s="849"/>
      <c r="EI35" s="849"/>
      <c r="EJ35" s="849"/>
      <c r="EK35" s="849"/>
      <c r="EL35" s="849"/>
      <c r="EM35" s="849"/>
      <c r="EN35" s="849"/>
      <c r="EO35" s="849"/>
      <c r="EP35" s="849"/>
      <c r="EQ35" s="849"/>
      <c r="ER35" s="849"/>
      <c r="ES35" s="849"/>
      <c r="ET35" s="849"/>
      <c r="EU35" s="849"/>
      <c r="EV35" s="849"/>
      <c r="EW35" s="849"/>
      <c r="EX35" s="849"/>
      <c r="EY35" s="849"/>
      <c r="EZ35" s="849"/>
      <c r="FA35" s="849"/>
      <c r="FB35" s="849"/>
      <c r="FC35" s="849"/>
      <c r="FD35" s="849"/>
      <c r="FE35" s="849"/>
      <c r="FF35" s="849"/>
      <c r="FG35" s="849"/>
      <c r="FH35" s="849"/>
      <c r="FI35" s="849"/>
      <c r="FJ35" s="849"/>
      <c r="FK35" s="849"/>
      <c r="FL35" s="849"/>
      <c r="FM35" s="849"/>
      <c r="FN35" s="849"/>
      <c r="FO35" s="849"/>
      <c r="FP35" s="849"/>
      <c r="FQ35" s="849"/>
      <c r="FR35" s="849"/>
      <c r="FS35" s="849"/>
      <c r="FT35" s="849"/>
      <c r="FU35" s="849"/>
      <c r="FV35" s="849"/>
      <c r="FW35" s="849"/>
      <c r="FX35" s="849"/>
      <c r="FY35" s="849"/>
      <c r="FZ35" s="849"/>
      <c r="GA35" s="849"/>
      <c r="GB35" s="849"/>
      <c r="GC35" s="849"/>
      <c r="GD35" s="849"/>
      <c r="GE35" s="849"/>
      <c r="GF35" s="849"/>
      <c r="GG35" s="849"/>
      <c r="GH35" s="849"/>
      <c r="GI35" s="849"/>
      <c r="GJ35" s="849"/>
      <c r="GK35" s="849"/>
      <c r="GL35" s="849"/>
      <c r="GM35" s="849"/>
      <c r="GN35" s="849"/>
      <c r="GO35" s="849"/>
      <c r="GP35" s="849"/>
      <c r="GQ35" s="849"/>
      <c r="GR35" s="849"/>
      <c r="GS35" s="849"/>
      <c r="GT35" s="849"/>
      <c r="GU35" s="849"/>
      <c r="GV35" s="849"/>
      <c r="GW35" s="849"/>
      <c r="GX35" s="849"/>
      <c r="GY35" s="849"/>
      <c r="GZ35" s="849"/>
      <c r="HA35" s="849"/>
      <c r="HB35" s="849"/>
      <c r="HC35" s="849"/>
      <c r="HD35" s="849"/>
      <c r="HE35" s="849"/>
      <c r="HF35" s="849"/>
      <c r="HG35" s="849"/>
      <c r="HH35" s="849"/>
      <c r="HI35" s="849"/>
      <c r="HJ35" s="849"/>
      <c r="HK35" s="849"/>
      <c r="HL35" s="849"/>
      <c r="HM35" s="849"/>
      <c r="HN35" s="849"/>
      <c r="HO35" s="849"/>
      <c r="HP35" s="849"/>
      <c r="HQ35" s="849"/>
      <c r="HR35" s="849"/>
      <c r="HS35" s="849"/>
      <c r="HT35" s="849"/>
      <c r="HU35" s="849"/>
      <c r="HV35" s="849"/>
      <c r="HW35" s="849"/>
      <c r="HX35" s="849"/>
      <c r="HY35" s="849"/>
      <c r="HZ35" s="849"/>
      <c r="IA35" s="849"/>
      <c r="IB35" s="849"/>
      <c r="IC35" s="849"/>
      <c r="ID35" s="849"/>
      <c r="IE35" s="849"/>
      <c r="IF35" s="849"/>
      <c r="IG35" s="849"/>
      <c r="IH35" s="849"/>
      <c r="II35" s="849"/>
      <c r="IJ35" s="849"/>
      <c r="IK35" s="849"/>
      <c r="IL35" s="849"/>
      <c r="IM35" s="849"/>
      <c r="IN35" s="849"/>
      <c r="IO35" s="849"/>
      <c r="IP35" s="849"/>
      <c r="IQ35" s="849"/>
      <c r="IR35" s="849"/>
      <c r="IS35" s="849"/>
      <c r="IT35" s="849"/>
    </row>
    <row r="36" spans="1:254" s="848" customFormat="1" ht="4.5" customHeight="1">
      <c r="A36" s="77"/>
      <c r="B36" s="77"/>
      <c r="C36" s="77"/>
      <c r="D36" s="77"/>
      <c r="E36" s="77"/>
      <c r="F36" s="77"/>
      <c r="G36" s="77"/>
      <c r="H36" s="77"/>
      <c r="I36" s="77"/>
      <c r="J36" s="77"/>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49"/>
      <c r="AY36" s="849"/>
      <c r="AZ36" s="849"/>
      <c r="BA36" s="849"/>
      <c r="BB36" s="849"/>
      <c r="BC36" s="849"/>
      <c r="BD36" s="849"/>
      <c r="BE36" s="849"/>
      <c r="BF36" s="849"/>
      <c r="BG36" s="849"/>
      <c r="BH36" s="849"/>
      <c r="BI36" s="849"/>
      <c r="BJ36" s="849"/>
      <c r="BK36" s="849"/>
      <c r="BL36" s="849"/>
      <c r="BM36" s="849"/>
      <c r="BN36" s="849"/>
      <c r="BO36" s="849"/>
      <c r="BP36" s="849"/>
      <c r="BQ36" s="849"/>
      <c r="BR36" s="849"/>
      <c r="BS36" s="849"/>
      <c r="BT36" s="849"/>
      <c r="BU36" s="849"/>
      <c r="BV36" s="849"/>
      <c r="BW36" s="849"/>
      <c r="BX36" s="849"/>
      <c r="BY36" s="849"/>
      <c r="BZ36" s="849"/>
      <c r="CA36" s="849"/>
      <c r="CB36" s="849"/>
      <c r="CC36" s="849"/>
      <c r="CD36" s="849"/>
      <c r="CE36" s="849"/>
      <c r="CF36" s="849"/>
      <c r="CG36" s="849"/>
      <c r="CH36" s="849"/>
      <c r="CI36" s="849"/>
      <c r="CJ36" s="849"/>
      <c r="CK36" s="849"/>
      <c r="CL36" s="849"/>
      <c r="CM36" s="849"/>
      <c r="CN36" s="849"/>
      <c r="CO36" s="849"/>
      <c r="CP36" s="849"/>
      <c r="CQ36" s="849"/>
      <c r="CR36" s="849"/>
      <c r="CS36" s="849"/>
      <c r="CT36" s="849"/>
      <c r="CU36" s="849"/>
      <c r="CV36" s="849"/>
      <c r="CW36" s="849"/>
      <c r="CX36" s="849"/>
      <c r="CY36" s="849"/>
      <c r="CZ36" s="849"/>
      <c r="DA36" s="849"/>
      <c r="DB36" s="849"/>
      <c r="DC36" s="849"/>
      <c r="DD36" s="849"/>
      <c r="DE36" s="849"/>
      <c r="DF36" s="849"/>
      <c r="DG36" s="849"/>
      <c r="DH36" s="849"/>
      <c r="DI36" s="849"/>
      <c r="DJ36" s="849"/>
      <c r="DK36" s="849"/>
      <c r="DL36" s="849"/>
      <c r="DM36" s="849"/>
      <c r="DN36" s="849"/>
      <c r="DO36" s="849"/>
      <c r="DP36" s="849"/>
      <c r="DQ36" s="849"/>
      <c r="DR36" s="849"/>
      <c r="DS36" s="849"/>
      <c r="DT36" s="849"/>
      <c r="DU36" s="849"/>
      <c r="DV36" s="849"/>
      <c r="DW36" s="849"/>
      <c r="DX36" s="849"/>
      <c r="DY36" s="849"/>
      <c r="DZ36" s="849"/>
      <c r="EA36" s="849"/>
      <c r="EB36" s="849"/>
      <c r="EC36" s="849"/>
      <c r="ED36" s="849"/>
      <c r="EE36" s="849"/>
      <c r="EF36" s="849"/>
      <c r="EG36" s="849"/>
      <c r="EH36" s="849"/>
      <c r="EI36" s="849"/>
      <c r="EJ36" s="849"/>
      <c r="EK36" s="849"/>
      <c r="EL36" s="849"/>
      <c r="EM36" s="849"/>
      <c r="EN36" s="849"/>
      <c r="EO36" s="849"/>
      <c r="EP36" s="849"/>
      <c r="EQ36" s="849"/>
      <c r="ER36" s="849"/>
      <c r="ES36" s="849"/>
      <c r="ET36" s="849"/>
      <c r="EU36" s="849"/>
      <c r="EV36" s="849"/>
      <c r="EW36" s="849"/>
      <c r="EX36" s="849"/>
      <c r="EY36" s="849"/>
      <c r="EZ36" s="849"/>
      <c r="FA36" s="849"/>
      <c r="FB36" s="849"/>
      <c r="FC36" s="849"/>
      <c r="FD36" s="849"/>
      <c r="FE36" s="849"/>
      <c r="FF36" s="849"/>
      <c r="FG36" s="849"/>
      <c r="FH36" s="849"/>
      <c r="FI36" s="849"/>
      <c r="FJ36" s="849"/>
      <c r="FK36" s="849"/>
      <c r="FL36" s="849"/>
      <c r="FM36" s="849"/>
      <c r="FN36" s="849"/>
      <c r="FO36" s="849"/>
      <c r="FP36" s="849"/>
      <c r="FQ36" s="849"/>
      <c r="FR36" s="849"/>
      <c r="FS36" s="849"/>
      <c r="FT36" s="849"/>
      <c r="FU36" s="849"/>
      <c r="FV36" s="849"/>
      <c r="FW36" s="849"/>
      <c r="FX36" s="849"/>
      <c r="FY36" s="849"/>
      <c r="FZ36" s="849"/>
      <c r="GA36" s="849"/>
      <c r="GB36" s="849"/>
      <c r="GC36" s="849"/>
      <c r="GD36" s="849"/>
      <c r="GE36" s="849"/>
      <c r="GF36" s="849"/>
      <c r="GG36" s="849"/>
      <c r="GH36" s="849"/>
      <c r="GI36" s="849"/>
      <c r="GJ36" s="849"/>
      <c r="GK36" s="849"/>
      <c r="GL36" s="849"/>
      <c r="GM36" s="849"/>
      <c r="GN36" s="849"/>
      <c r="GO36" s="849"/>
      <c r="GP36" s="849"/>
      <c r="GQ36" s="849"/>
      <c r="GR36" s="849"/>
      <c r="GS36" s="849"/>
      <c r="GT36" s="849"/>
      <c r="GU36" s="849"/>
      <c r="GV36" s="849"/>
      <c r="GW36" s="849"/>
      <c r="GX36" s="849"/>
      <c r="GY36" s="849"/>
      <c r="GZ36" s="849"/>
      <c r="HA36" s="849"/>
      <c r="HB36" s="849"/>
      <c r="HC36" s="849"/>
      <c r="HD36" s="849"/>
      <c r="HE36" s="849"/>
      <c r="HF36" s="849"/>
      <c r="HG36" s="849"/>
      <c r="HH36" s="849"/>
      <c r="HI36" s="849"/>
      <c r="HJ36" s="849"/>
      <c r="HK36" s="849"/>
      <c r="HL36" s="849"/>
      <c r="HM36" s="849"/>
      <c r="HN36" s="849"/>
      <c r="HO36" s="849"/>
      <c r="HP36" s="849"/>
      <c r="HQ36" s="849"/>
      <c r="HR36" s="849"/>
      <c r="HS36" s="849"/>
      <c r="HT36" s="849"/>
      <c r="HU36" s="849"/>
      <c r="HV36" s="849"/>
      <c r="HW36" s="849"/>
      <c r="HX36" s="849"/>
      <c r="HY36" s="849"/>
      <c r="HZ36" s="849"/>
      <c r="IA36" s="849"/>
      <c r="IB36" s="849"/>
      <c r="IC36" s="849"/>
      <c r="ID36" s="849"/>
      <c r="IE36" s="849"/>
      <c r="IF36" s="849"/>
      <c r="IG36" s="849"/>
      <c r="IH36" s="849"/>
      <c r="II36" s="849"/>
      <c r="IJ36" s="849"/>
      <c r="IK36" s="849"/>
      <c r="IL36" s="849"/>
      <c r="IM36" s="849"/>
      <c r="IN36" s="849"/>
      <c r="IO36" s="849"/>
      <c r="IP36" s="849"/>
      <c r="IQ36" s="849"/>
      <c r="IR36" s="849"/>
      <c r="IS36" s="849"/>
      <c r="IT36" s="849"/>
    </row>
    <row r="37" spans="1:254" s="723" customFormat="1" ht="19.5" customHeight="1">
      <c r="A37" s="2451"/>
      <c r="B37" s="2452"/>
      <c r="C37" s="2452"/>
      <c r="D37" s="2452"/>
      <c r="E37" s="2452"/>
      <c r="F37" s="2452"/>
      <c r="G37" s="2452"/>
      <c r="H37" s="2452"/>
      <c r="I37" s="2452"/>
      <c r="J37" s="2453"/>
      <c r="R37" s="849"/>
      <c r="S37" s="849"/>
      <c r="T37" s="849"/>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849"/>
      <c r="AX37" s="849"/>
      <c r="AY37" s="849"/>
      <c r="AZ37" s="849"/>
      <c r="BA37" s="849"/>
      <c r="BB37" s="849"/>
      <c r="BC37" s="849"/>
      <c r="BD37" s="849"/>
      <c r="BE37" s="849"/>
      <c r="BF37" s="849"/>
      <c r="BG37" s="849"/>
      <c r="BH37" s="849"/>
      <c r="BI37" s="849"/>
      <c r="BJ37" s="849"/>
      <c r="BK37" s="849"/>
      <c r="BL37" s="849"/>
      <c r="BM37" s="849"/>
      <c r="BN37" s="849"/>
      <c r="BO37" s="849"/>
      <c r="BP37" s="849"/>
      <c r="BQ37" s="849"/>
      <c r="BR37" s="849"/>
      <c r="BS37" s="849"/>
      <c r="BT37" s="849"/>
      <c r="BU37" s="849"/>
      <c r="BV37" s="849"/>
      <c r="BW37" s="849"/>
      <c r="BX37" s="849"/>
      <c r="BY37" s="849"/>
      <c r="BZ37" s="849"/>
      <c r="CA37" s="849"/>
      <c r="CB37" s="849"/>
      <c r="CC37" s="849"/>
      <c r="CD37" s="849"/>
      <c r="CE37" s="849"/>
      <c r="CF37" s="849"/>
      <c r="CG37" s="849"/>
      <c r="CH37" s="849"/>
      <c r="CI37" s="849"/>
      <c r="CJ37" s="849"/>
      <c r="CK37" s="849"/>
      <c r="CL37" s="849"/>
      <c r="CM37" s="849"/>
      <c r="CN37" s="849"/>
      <c r="CO37" s="849"/>
      <c r="CP37" s="849"/>
      <c r="CQ37" s="849"/>
      <c r="CR37" s="849"/>
      <c r="CS37" s="849"/>
      <c r="CT37" s="849"/>
      <c r="CU37" s="849"/>
      <c r="CV37" s="849"/>
      <c r="CW37" s="849"/>
      <c r="CX37" s="849"/>
      <c r="CY37" s="849"/>
      <c r="CZ37" s="849"/>
      <c r="DA37" s="849"/>
      <c r="DB37" s="849"/>
      <c r="DC37" s="849"/>
      <c r="DD37" s="849"/>
      <c r="DE37" s="849"/>
      <c r="DF37" s="849"/>
      <c r="DG37" s="849"/>
      <c r="DH37" s="849"/>
      <c r="DI37" s="849"/>
      <c r="DJ37" s="849"/>
      <c r="DK37" s="849"/>
      <c r="DL37" s="849"/>
      <c r="DM37" s="849"/>
      <c r="DN37" s="849"/>
      <c r="DO37" s="849"/>
      <c r="DP37" s="849"/>
      <c r="DQ37" s="849"/>
      <c r="DR37" s="849"/>
      <c r="DS37" s="849"/>
      <c r="DT37" s="849"/>
      <c r="DU37" s="849"/>
      <c r="DV37" s="849"/>
      <c r="DW37" s="849"/>
      <c r="DX37" s="849"/>
      <c r="DY37" s="849"/>
      <c r="DZ37" s="849"/>
      <c r="EA37" s="849"/>
      <c r="EB37" s="849"/>
      <c r="EC37" s="849"/>
      <c r="ED37" s="849"/>
      <c r="EE37" s="849"/>
      <c r="EF37" s="849"/>
      <c r="EG37" s="849"/>
      <c r="EH37" s="849"/>
      <c r="EI37" s="849"/>
      <c r="EJ37" s="849"/>
      <c r="EK37" s="849"/>
      <c r="EL37" s="849"/>
      <c r="EM37" s="849"/>
      <c r="EN37" s="849"/>
      <c r="EO37" s="849"/>
      <c r="EP37" s="849"/>
      <c r="EQ37" s="849"/>
      <c r="ER37" s="849"/>
      <c r="ES37" s="849"/>
      <c r="ET37" s="849"/>
      <c r="EU37" s="849"/>
      <c r="EV37" s="849"/>
      <c r="EW37" s="849"/>
      <c r="EX37" s="849"/>
      <c r="EY37" s="849"/>
      <c r="EZ37" s="849"/>
      <c r="FA37" s="849"/>
      <c r="FB37" s="849"/>
      <c r="FC37" s="849"/>
      <c r="FD37" s="849"/>
      <c r="FE37" s="849"/>
      <c r="FF37" s="849"/>
      <c r="FG37" s="849"/>
      <c r="FH37" s="849"/>
      <c r="FI37" s="849"/>
      <c r="FJ37" s="849"/>
      <c r="FK37" s="849"/>
      <c r="FL37" s="849"/>
      <c r="FM37" s="849"/>
      <c r="FN37" s="849"/>
      <c r="FO37" s="849"/>
      <c r="FP37" s="849"/>
      <c r="FQ37" s="849"/>
      <c r="FR37" s="849"/>
      <c r="FS37" s="849"/>
      <c r="FT37" s="849"/>
      <c r="FU37" s="849"/>
      <c r="FV37" s="849"/>
      <c r="FW37" s="849"/>
      <c r="FX37" s="849"/>
      <c r="FY37" s="849"/>
      <c r="FZ37" s="849"/>
      <c r="GA37" s="849"/>
      <c r="GB37" s="849"/>
      <c r="GC37" s="849"/>
      <c r="GD37" s="849"/>
      <c r="GE37" s="849"/>
      <c r="GF37" s="849"/>
      <c r="GG37" s="849"/>
      <c r="GH37" s="849"/>
      <c r="GI37" s="849"/>
      <c r="GJ37" s="849"/>
      <c r="GK37" s="849"/>
      <c r="GL37" s="849"/>
      <c r="GM37" s="849"/>
      <c r="GN37" s="849"/>
      <c r="GO37" s="849"/>
      <c r="GP37" s="849"/>
      <c r="GQ37" s="849"/>
      <c r="GR37" s="849"/>
      <c r="GS37" s="849"/>
      <c r="GT37" s="849"/>
      <c r="GU37" s="849"/>
      <c r="GV37" s="849"/>
      <c r="GW37" s="849"/>
      <c r="GX37" s="849"/>
      <c r="GY37" s="849"/>
      <c r="GZ37" s="849"/>
      <c r="HA37" s="849"/>
      <c r="HB37" s="849"/>
      <c r="HC37" s="849"/>
      <c r="HD37" s="849"/>
      <c r="HE37" s="849"/>
      <c r="HF37" s="849"/>
      <c r="HG37" s="849"/>
      <c r="HH37" s="849"/>
      <c r="HI37" s="849"/>
      <c r="HJ37" s="849"/>
      <c r="HK37" s="849"/>
      <c r="HL37" s="849"/>
      <c r="HM37" s="849"/>
      <c r="HN37" s="849"/>
      <c r="HO37" s="849"/>
      <c r="HP37" s="849"/>
      <c r="HQ37" s="849"/>
      <c r="HR37" s="849"/>
      <c r="HS37" s="849"/>
      <c r="HT37" s="849"/>
      <c r="HU37" s="849"/>
      <c r="HV37" s="849"/>
      <c r="HW37" s="849"/>
      <c r="HX37" s="849"/>
      <c r="HY37" s="849"/>
      <c r="HZ37" s="849"/>
      <c r="IA37" s="849"/>
      <c r="IB37" s="849"/>
      <c r="IC37" s="849"/>
      <c r="ID37" s="849"/>
      <c r="IE37" s="849"/>
      <c r="IF37" s="849"/>
      <c r="IG37" s="849"/>
      <c r="IH37" s="849"/>
      <c r="II37" s="849"/>
      <c r="IJ37" s="849"/>
      <c r="IK37" s="849"/>
      <c r="IL37" s="849"/>
      <c r="IM37" s="849"/>
      <c r="IN37" s="849"/>
      <c r="IO37" s="849"/>
      <c r="IP37" s="849"/>
      <c r="IQ37" s="849"/>
      <c r="IR37" s="849"/>
      <c r="IS37" s="849"/>
      <c r="IT37" s="849"/>
    </row>
    <row r="38" spans="1:254" s="723" customFormat="1" ht="19.5" customHeight="1">
      <c r="A38" s="2454"/>
      <c r="B38" s="2455"/>
      <c r="C38" s="2455"/>
      <c r="D38" s="2455"/>
      <c r="E38" s="2455"/>
      <c r="F38" s="2455"/>
      <c r="G38" s="2455"/>
      <c r="H38" s="2455"/>
      <c r="I38" s="2455"/>
      <c r="J38" s="2456"/>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49"/>
      <c r="BA38" s="849"/>
      <c r="BB38" s="849"/>
      <c r="BC38" s="849"/>
      <c r="BD38" s="849"/>
      <c r="BE38" s="849"/>
      <c r="BF38" s="849"/>
      <c r="BG38" s="849"/>
      <c r="BH38" s="849"/>
      <c r="BI38" s="849"/>
      <c r="BJ38" s="849"/>
      <c r="BK38" s="849"/>
      <c r="BL38" s="849"/>
      <c r="BM38" s="849"/>
      <c r="BN38" s="849"/>
      <c r="BO38" s="849"/>
      <c r="BP38" s="849"/>
      <c r="BQ38" s="849"/>
      <c r="BR38" s="849"/>
      <c r="BS38" s="849"/>
      <c r="BT38" s="849"/>
      <c r="BU38" s="849"/>
      <c r="BV38" s="849"/>
      <c r="BW38" s="849"/>
      <c r="BX38" s="849"/>
      <c r="BY38" s="849"/>
      <c r="BZ38" s="849"/>
      <c r="CA38" s="849"/>
      <c r="CB38" s="849"/>
      <c r="CC38" s="849"/>
      <c r="CD38" s="849"/>
      <c r="CE38" s="849"/>
      <c r="CF38" s="849"/>
      <c r="CG38" s="849"/>
      <c r="CH38" s="849"/>
      <c r="CI38" s="849"/>
      <c r="CJ38" s="849"/>
      <c r="CK38" s="849"/>
      <c r="CL38" s="849"/>
      <c r="CM38" s="849"/>
      <c r="CN38" s="849"/>
      <c r="CO38" s="849"/>
      <c r="CP38" s="849"/>
      <c r="CQ38" s="849"/>
      <c r="CR38" s="849"/>
      <c r="CS38" s="849"/>
      <c r="CT38" s="849"/>
      <c r="CU38" s="849"/>
      <c r="CV38" s="849"/>
      <c r="CW38" s="849"/>
      <c r="CX38" s="849"/>
      <c r="CY38" s="849"/>
      <c r="CZ38" s="849"/>
      <c r="DA38" s="849"/>
      <c r="DB38" s="849"/>
      <c r="DC38" s="849"/>
      <c r="DD38" s="849"/>
      <c r="DE38" s="849"/>
      <c r="DF38" s="849"/>
      <c r="DG38" s="849"/>
      <c r="DH38" s="849"/>
      <c r="DI38" s="849"/>
      <c r="DJ38" s="849"/>
      <c r="DK38" s="849"/>
      <c r="DL38" s="849"/>
      <c r="DM38" s="849"/>
      <c r="DN38" s="849"/>
      <c r="DO38" s="849"/>
      <c r="DP38" s="849"/>
      <c r="DQ38" s="849"/>
      <c r="DR38" s="849"/>
      <c r="DS38" s="849"/>
      <c r="DT38" s="849"/>
      <c r="DU38" s="849"/>
      <c r="DV38" s="849"/>
      <c r="DW38" s="849"/>
      <c r="DX38" s="849"/>
      <c r="DY38" s="849"/>
      <c r="DZ38" s="849"/>
      <c r="EA38" s="849"/>
      <c r="EB38" s="849"/>
      <c r="EC38" s="849"/>
      <c r="ED38" s="849"/>
      <c r="EE38" s="849"/>
      <c r="EF38" s="849"/>
      <c r="EG38" s="849"/>
      <c r="EH38" s="849"/>
      <c r="EI38" s="849"/>
      <c r="EJ38" s="849"/>
      <c r="EK38" s="849"/>
      <c r="EL38" s="849"/>
      <c r="EM38" s="849"/>
      <c r="EN38" s="849"/>
      <c r="EO38" s="849"/>
      <c r="EP38" s="849"/>
      <c r="EQ38" s="849"/>
      <c r="ER38" s="849"/>
      <c r="ES38" s="849"/>
      <c r="ET38" s="849"/>
      <c r="EU38" s="849"/>
      <c r="EV38" s="849"/>
      <c r="EW38" s="849"/>
      <c r="EX38" s="849"/>
      <c r="EY38" s="849"/>
      <c r="EZ38" s="849"/>
      <c r="FA38" s="849"/>
      <c r="FB38" s="849"/>
      <c r="FC38" s="849"/>
      <c r="FD38" s="849"/>
      <c r="FE38" s="849"/>
      <c r="FF38" s="849"/>
      <c r="FG38" s="849"/>
      <c r="FH38" s="849"/>
      <c r="FI38" s="849"/>
      <c r="FJ38" s="849"/>
      <c r="FK38" s="849"/>
      <c r="FL38" s="849"/>
      <c r="FM38" s="849"/>
      <c r="FN38" s="849"/>
      <c r="FO38" s="849"/>
      <c r="FP38" s="849"/>
      <c r="FQ38" s="849"/>
      <c r="FR38" s="849"/>
      <c r="FS38" s="849"/>
      <c r="FT38" s="849"/>
      <c r="FU38" s="849"/>
      <c r="FV38" s="849"/>
      <c r="FW38" s="849"/>
      <c r="FX38" s="849"/>
      <c r="FY38" s="849"/>
      <c r="FZ38" s="849"/>
      <c r="GA38" s="849"/>
      <c r="GB38" s="849"/>
      <c r="GC38" s="849"/>
      <c r="GD38" s="849"/>
      <c r="GE38" s="849"/>
      <c r="GF38" s="849"/>
      <c r="GG38" s="849"/>
      <c r="GH38" s="849"/>
      <c r="GI38" s="849"/>
      <c r="GJ38" s="849"/>
      <c r="GK38" s="849"/>
      <c r="GL38" s="849"/>
      <c r="GM38" s="849"/>
      <c r="GN38" s="849"/>
      <c r="GO38" s="849"/>
      <c r="GP38" s="849"/>
      <c r="GQ38" s="849"/>
      <c r="GR38" s="849"/>
      <c r="GS38" s="849"/>
      <c r="GT38" s="849"/>
      <c r="GU38" s="849"/>
      <c r="GV38" s="849"/>
      <c r="GW38" s="849"/>
      <c r="GX38" s="849"/>
      <c r="GY38" s="849"/>
      <c r="GZ38" s="849"/>
      <c r="HA38" s="849"/>
      <c r="HB38" s="849"/>
      <c r="HC38" s="849"/>
      <c r="HD38" s="849"/>
      <c r="HE38" s="849"/>
      <c r="HF38" s="849"/>
      <c r="HG38" s="849"/>
      <c r="HH38" s="849"/>
      <c r="HI38" s="849"/>
      <c r="HJ38" s="849"/>
      <c r="HK38" s="849"/>
      <c r="HL38" s="849"/>
      <c r="HM38" s="849"/>
      <c r="HN38" s="849"/>
      <c r="HO38" s="849"/>
      <c r="HP38" s="849"/>
      <c r="HQ38" s="849"/>
      <c r="HR38" s="849"/>
      <c r="HS38" s="849"/>
      <c r="HT38" s="849"/>
      <c r="HU38" s="849"/>
      <c r="HV38" s="849"/>
      <c r="HW38" s="849"/>
      <c r="HX38" s="849"/>
      <c r="HY38" s="849"/>
      <c r="HZ38" s="849"/>
      <c r="IA38" s="849"/>
      <c r="IB38" s="849"/>
      <c r="IC38" s="849"/>
      <c r="ID38" s="849"/>
      <c r="IE38" s="849"/>
      <c r="IF38" s="849"/>
      <c r="IG38" s="849"/>
      <c r="IH38" s="849"/>
      <c r="II38" s="849"/>
      <c r="IJ38" s="849"/>
      <c r="IK38" s="849"/>
      <c r="IL38" s="849"/>
      <c r="IM38" s="849"/>
      <c r="IN38" s="849"/>
      <c r="IO38" s="849"/>
      <c r="IP38" s="849"/>
      <c r="IQ38" s="849"/>
      <c r="IR38" s="849"/>
      <c r="IS38" s="849"/>
      <c r="IT38" s="849"/>
    </row>
    <row r="39" spans="1:254" s="723" customFormat="1" ht="19.5" customHeight="1">
      <c r="A39" s="2454"/>
      <c r="B39" s="2455"/>
      <c r="C39" s="2455"/>
      <c r="D39" s="2455"/>
      <c r="E39" s="2455"/>
      <c r="F39" s="2455"/>
      <c r="G39" s="2455"/>
      <c r="H39" s="2455"/>
      <c r="I39" s="2455"/>
      <c r="J39" s="2456"/>
      <c r="R39" s="849"/>
      <c r="S39" s="849"/>
      <c r="T39" s="849"/>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849"/>
      <c r="AX39" s="849"/>
      <c r="AY39" s="849"/>
      <c r="AZ39" s="849"/>
      <c r="BA39" s="849"/>
      <c r="BB39" s="849"/>
      <c r="BC39" s="849"/>
      <c r="BD39" s="849"/>
      <c r="BE39" s="849"/>
      <c r="BF39" s="849"/>
      <c r="BG39" s="849"/>
      <c r="BH39" s="849"/>
      <c r="BI39" s="849"/>
      <c r="BJ39" s="849"/>
      <c r="BK39" s="849"/>
      <c r="BL39" s="849"/>
      <c r="BM39" s="849"/>
      <c r="BN39" s="849"/>
      <c r="BO39" s="849"/>
      <c r="BP39" s="849"/>
      <c r="BQ39" s="849"/>
      <c r="BR39" s="849"/>
      <c r="BS39" s="849"/>
      <c r="BT39" s="849"/>
      <c r="BU39" s="849"/>
      <c r="BV39" s="849"/>
      <c r="BW39" s="849"/>
      <c r="BX39" s="849"/>
      <c r="BY39" s="849"/>
      <c r="BZ39" s="849"/>
      <c r="CA39" s="849"/>
      <c r="CB39" s="849"/>
      <c r="CC39" s="849"/>
      <c r="CD39" s="849"/>
      <c r="CE39" s="849"/>
      <c r="CF39" s="849"/>
      <c r="CG39" s="849"/>
      <c r="CH39" s="849"/>
      <c r="CI39" s="849"/>
      <c r="CJ39" s="849"/>
      <c r="CK39" s="849"/>
      <c r="CL39" s="849"/>
      <c r="CM39" s="849"/>
      <c r="CN39" s="849"/>
      <c r="CO39" s="849"/>
      <c r="CP39" s="849"/>
      <c r="CQ39" s="849"/>
      <c r="CR39" s="849"/>
      <c r="CS39" s="849"/>
      <c r="CT39" s="849"/>
      <c r="CU39" s="849"/>
      <c r="CV39" s="849"/>
      <c r="CW39" s="849"/>
      <c r="CX39" s="849"/>
      <c r="CY39" s="849"/>
      <c r="CZ39" s="849"/>
      <c r="DA39" s="849"/>
      <c r="DB39" s="849"/>
      <c r="DC39" s="849"/>
      <c r="DD39" s="849"/>
      <c r="DE39" s="849"/>
      <c r="DF39" s="849"/>
      <c r="DG39" s="849"/>
      <c r="DH39" s="849"/>
      <c r="DI39" s="849"/>
      <c r="DJ39" s="849"/>
      <c r="DK39" s="849"/>
      <c r="DL39" s="849"/>
      <c r="DM39" s="849"/>
      <c r="DN39" s="849"/>
      <c r="DO39" s="849"/>
      <c r="DP39" s="849"/>
      <c r="DQ39" s="849"/>
      <c r="DR39" s="849"/>
      <c r="DS39" s="849"/>
      <c r="DT39" s="849"/>
      <c r="DU39" s="849"/>
      <c r="DV39" s="849"/>
      <c r="DW39" s="849"/>
      <c r="DX39" s="849"/>
      <c r="DY39" s="849"/>
      <c r="DZ39" s="849"/>
      <c r="EA39" s="849"/>
      <c r="EB39" s="849"/>
      <c r="EC39" s="849"/>
      <c r="ED39" s="849"/>
      <c r="EE39" s="849"/>
      <c r="EF39" s="849"/>
      <c r="EG39" s="849"/>
      <c r="EH39" s="849"/>
      <c r="EI39" s="849"/>
      <c r="EJ39" s="849"/>
      <c r="EK39" s="849"/>
      <c r="EL39" s="849"/>
      <c r="EM39" s="849"/>
      <c r="EN39" s="849"/>
      <c r="EO39" s="849"/>
      <c r="EP39" s="849"/>
      <c r="EQ39" s="849"/>
      <c r="ER39" s="849"/>
      <c r="ES39" s="849"/>
      <c r="ET39" s="849"/>
      <c r="EU39" s="849"/>
      <c r="EV39" s="849"/>
      <c r="EW39" s="849"/>
      <c r="EX39" s="849"/>
      <c r="EY39" s="849"/>
      <c r="EZ39" s="849"/>
      <c r="FA39" s="849"/>
      <c r="FB39" s="849"/>
      <c r="FC39" s="849"/>
      <c r="FD39" s="849"/>
      <c r="FE39" s="849"/>
      <c r="FF39" s="849"/>
      <c r="FG39" s="849"/>
      <c r="FH39" s="849"/>
      <c r="FI39" s="849"/>
      <c r="FJ39" s="849"/>
      <c r="FK39" s="849"/>
      <c r="FL39" s="849"/>
      <c r="FM39" s="849"/>
      <c r="FN39" s="849"/>
      <c r="FO39" s="849"/>
      <c r="FP39" s="849"/>
      <c r="FQ39" s="849"/>
      <c r="FR39" s="849"/>
      <c r="FS39" s="849"/>
      <c r="FT39" s="849"/>
      <c r="FU39" s="849"/>
      <c r="FV39" s="849"/>
      <c r="FW39" s="849"/>
      <c r="FX39" s="849"/>
      <c r="FY39" s="849"/>
      <c r="FZ39" s="849"/>
      <c r="GA39" s="849"/>
      <c r="GB39" s="849"/>
      <c r="GC39" s="849"/>
      <c r="GD39" s="849"/>
      <c r="GE39" s="849"/>
      <c r="GF39" s="849"/>
      <c r="GG39" s="849"/>
      <c r="GH39" s="849"/>
      <c r="GI39" s="849"/>
      <c r="GJ39" s="849"/>
      <c r="GK39" s="849"/>
      <c r="GL39" s="849"/>
      <c r="GM39" s="849"/>
      <c r="GN39" s="849"/>
      <c r="GO39" s="849"/>
      <c r="GP39" s="849"/>
      <c r="GQ39" s="849"/>
      <c r="GR39" s="849"/>
      <c r="GS39" s="849"/>
      <c r="GT39" s="849"/>
      <c r="GU39" s="849"/>
      <c r="GV39" s="849"/>
      <c r="GW39" s="849"/>
      <c r="GX39" s="849"/>
      <c r="GY39" s="849"/>
      <c r="GZ39" s="849"/>
      <c r="HA39" s="849"/>
      <c r="HB39" s="849"/>
      <c r="HC39" s="849"/>
      <c r="HD39" s="849"/>
      <c r="HE39" s="849"/>
      <c r="HF39" s="849"/>
      <c r="HG39" s="849"/>
      <c r="HH39" s="849"/>
      <c r="HI39" s="849"/>
      <c r="HJ39" s="849"/>
      <c r="HK39" s="849"/>
      <c r="HL39" s="849"/>
      <c r="HM39" s="849"/>
      <c r="HN39" s="849"/>
      <c r="HO39" s="849"/>
      <c r="HP39" s="849"/>
      <c r="HQ39" s="849"/>
      <c r="HR39" s="849"/>
      <c r="HS39" s="849"/>
      <c r="HT39" s="849"/>
      <c r="HU39" s="849"/>
      <c r="HV39" s="849"/>
      <c r="HW39" s="849"/>
      <c r="HX39" s="849"/>
      <c r="HY39" s="849"/>
      <c r="HZ39" s="849"/>
      <c r="IA39" s="849"/>
      <c r="IB39" s="849"/>
      <c r="IC39" s="849"/>
      <c r="ID39" s="849"/>
      <c r="IE39" s="849"/>
      <c r="IF39" s="849"/>
      <c r="IG39" s="849"/>
      <c r="IH39" s="849"/>
      <c r="II39" s="849"/>
      <c r="IJ39" s="849"/>
      <c r="IK39" s="849"/>
      <c r="IL39" s="849"/>
      <c r="IM39" s="849"/>
      <c r="IN39" s="849"/>
      <c r="IO39" s="849"/>
      <c r="IP39" s="849"/>
      <c r="IQ39" s="849"/>
      <c r="IR39" s="849"/>
      <c r="IS39" s="849"/>
      <c r="IT39" s="849"/>
    </row>
    <row r="40" spans="1:254" s="723" customFormat="1" ht="19.5" customHeight="1">
      <c r="A40" s="2457"/>
      <c r="B40" s="2458"/>
      <c r="C40" s="2458"/>
      <c r="D40" s="2458"/>
      <c r="E40" s="2458"/>
      <c r="F40" s="2458"/>
      <c r="G40" s="2458"/>
      <c r="H40" s="2458"/>
      <c r="I40" s="2458"/>
      <c r="J40" s="2459"/>
      <c r="R40" s="849"/>
      <c r="S40" s="849"/>
      <c r="T40" s="849"/>
      <c r="U40" s="849"/>
      <c r="V40" s="849"/>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849"/>
      <c r="AX40" s="849"/>
      <c r="AY40" s="849"/>
      <c r="AZ40" s="849"/>
      <c r="BA40" s="849"/>
      <c r="BB40" s="849"/>
      <c r="BC40" s="849"/>
      <c r="BD40" s="849"/>
      <c r="BE40" s="849"/>
      <c r="BF40" s="849"/>
      <c r="BG40" s="849"/>
      <c r="BH40" s="849"/>
      <c r="BI40" s="849"/>
      <c r="BJ40" s="849"/>
      <c r="BK40" s="849"/>
      <c r="BL40" s="849"/>
      <c r="BM40" s="849"/>
      <c r="BN40" s="849"/>
      <c r="BO40" s="849"/>
      <c r="BP40" s="849"/>
      <c r="BQ40" s="849"/>
      <c r="BR40" s="849"/>
      <c r="BS40" s="849"/>
      <c r="BT40" s="849"/>
      <c r="BU40" s="849"/>
      <c r="BV40" s="849"/>
      <c r="BW40" s="849"/>
      <c r="BX40" s="849"/>
      <c r="BY40" s="849"/>
      <c r="BZ40" s="849"/>
      <c r="CA40" s="849"/>
      <c r="CB40" s="849"/>
      <c r="CC40" s="849"/>
      <c r="CD40" s="849"/>
      <c r="CE40" s="849"/>
      <c r="CF40" s="849"/>
      <c r="CG40" s="849"/>
      <c r="CH40" s="849"/>
      <c r="CI40" s="849"/>
      <c r="CJ40" s="849"/>
      <c r="CK40" s="849"/>
      <c r="CL40" s="849"/>
      <c r="CM40" s="849"/>
      <c r="CN40" s="849"/>
      <c r="CO40" s="849"/>
      <c r="CP40" s="849"/>
      <c r="CQ40" s="849"/>
      <c r="CR40" s="849"/>
      <c r="CS40" s="849"/>
      <c r="CT40" s="849"/>
      <c r="CU40" s="849"/>
      <c r="CV40" s="849"/>
      <c r="CW40" s="849"/>
      <c r="CX40" s="849"/>
      <c r="CY40" s="849"/>
      <c r="CZ40" s="849"/>
      <c r="DA40" s="849"/>
      <c r="DB40" s="849"/>
      <c r="DC40" s="849"/>
      <c r="DD40" s="849"/>
      <c r="DE40" s="849"/>
      <c r="DF40" s="849"/>
      <c r="DG40" s="849"/>
      <c r="DH40" s="849"/>
      <c r="DI40" s="849"/>
      <c r="DJ40" s="849"/>
      <c r="DK40" s="849"/>
      <c r="DL40" s="849"/>
      <c r="DM40" s="849"/>
      <c r="DN40" s="849"/>
      <c r="DO40" s="849"/>
      <c r="DP40" s="849"/>
      <c r="DQ40" s="849"/>
      <c r="DR40" s="849"/>
      <c r="DS40" s="849"/>
      <c r="DT40" s="849"/>
      <c r="DU40" s="849"/>
      <c r="DV40" s="849"/>
      <c r="DW40" s="849"/>
      <c r="DX40" s="849"/>
      <c r="DY40" s="849"/>
      <c r="DZ40" s="849"/>
      <c r="EA40" s="849"/>
      <c r="EB40" s="849"/>
      <c r="EC40" s="849"/>
      <c r="ED40" s="849"/>
      <c r="EE40" s="849"/>
      <c r="EF40" s="849"/>
      <c r="EG40" s="849"/>
      <c r="EH40" s="849"/>
      <c r="EI40" s="849"/>
      <c r="EJ40" s="849"/>
      <c r="EK40" s="849"/>
      <c r="EL40" s="849"/>
      <c r="EM40" s="849"/>
      <c r="EN40" s="849"/>
      <c r="EO40" s="849"/>
      <c r="EP40" s="849"/>
      <c r="EQ40" s="849"/>
      <c r="ER40" s="849"/>
      <c r="ES40" s="849"/>
      <c r="ET40" s="849"/>
      <c r="EU40" s="849"/>
      <c r="EV40" s="849"/>
      <c r="EW40" s="849"/>
      <c r="EX40" s="849"/>
      <c r="EY40" s="849"/>
      <c r="EZ40" s="849"/>
      <c r="FA40" s="849"/>
      <c r="FB40" s="849"/>
      <c r="FC40" s="849"/>
      <c r="FD40" s="849"/>
      <c r="FE40" s="849"/>
      <c r="FF40" s="849"/>
      <c r="FG40" s="849"/>
      <c r="FH40" s="849"/>
      <c r="FI40" s="849"/>
      <c r="FJ40" s="849"/>
      <c r="FK40" s="849"/>
      <c r="FL40" s="849"/>
      <c r="FM40" s="849"/>
      <c r="FN40" s="849"/>
      <c r="FO40" s="849"/>
      <c r="FP40" s="849"/>
      <c r="FQ40" s="849"/>
      <c r="FR40" s="849"/>
      <c r="FS40" s="849"/>
      <c r="FT40" s="849"/>
      <c r="FU40" s="849"/>
      <c r="FV40" s="849"/>
      <c r="FW40" s="849"/>
      <c r="FX40" s="849"/>
      <c r="FY40" s="849"/>
      <c r="FZ40" s="849"/>
      <c r="GA40" s="849"/>
      <c r="GB40" s="849"/>
      <c r="GC40" s="849"/>
      <c r="GD40" s="849"/>
      <c r="GE40" s="849"/>
      <c r="GF40" s="849"/>
      <c r="GG40" s="849"/>
      <c r="GH40" s="849"/>
      <c r="GI40" s="849"/>
      <c r="GJ40" s="849"/>
      <c r="GK40" s="849"/>
      <c r="GL40" s="849"/>
      <c r="GM40" s="849"/>
      <c r="GN40" s="849"/>
      <c r="GO40" s="849"/>
      <c r="GP40" s="849"/>
      <c r="GQ40" s="849"/>
      <c r="GR40" s="849"/>
      <c r="GS40" s="849"/>
      <c r="GT40" s="849"/>
      <c r="GU40" s="849"/>
      <c r="GV40" s="849"/>
      <c r="GW40" s="849"/>
      <c r="GX40" s="849"/>
      <c r="GY40" s="849"/>
      <c r="GZ40" s="849"/>
      <c r="HA40" s="849"/>
      <c r="HB40" s="849"/>
      <c r="HC40" s="849"/>
      <c r="HD40" s="849"/>
      <c r="HE40" s="849"/>
      <c r="HF40" s="849"/>
      <c r="HG40" s="849"/>
      <c r="HH40" s="849"/>
      <c r="HI40" s="849"/>
      <c r="HJ40" s="849"/>
      <c r="HK40" s="849"/>
      <c r="HL40" s="849"/>
      <c r="HM40" s="849"/>
      <c r="HN40" s="849"/>
      <c r="HO40" s="849"/>
      <c r="HP40" s="849"/>
      <c r="HQ40" s="849"/>
      <c r="HR40" s="849"/>
      <c r="HS40" s="849"/>
      <c r="HT40" s="849"/>
      <c r="HU40" s="849"/>
      <c r="HV40" s="849"/>
      <c r="HW40" s="849"/>
      <c r="HX40" s="849"/>
      <c r="HY40" s="849"/>
      <c r="HZ40" s="849"/>
      <c r="IA40" s="849"/>
      <c r="IB40" s="849"/>
      <c r="IC40" s="849"/>
      <c r="ID40" s="849"/>
      <c r="IE40" s="849"/>
      <c r="IF40" s="849"/>
      <c r="IG40" s="849"/>
      <c r="IH40" s="849"/>
      <c r="II40" s="849"/>
      <c r="IJ40" s="849"/>
      <c r="IK40" s="849"/>
      <c r="IL40" s="849"/>
      <c r="IM40" s="849"/>
      <c r="IN40" s="849"/>
      <c r="IO40" s="849"/>
      <c r="IP40" s="849"/>
      <c r="IQ40" s="849"/>
      <c r="IR40" s="849"/>
      <c r="IS40" s="849"/>
      <c r="IT40" s="849"/>
    </row>
    <row r="41" spans="1:254" s="723" customFormat="1" ht="26.25" customHeight="1">
      <c r="A41" s="72"/>
      <c r="B41" s="72"/>
      <c r="C41" s="72"/>
      <c r="D41" s="72"/>
      <c r="E41" s="72"/>
      <c r="F41" s="72"/>
      <c r="G41" s="72"/>
      <c r="H41" s="72"/>
      <c r="I41" s="72"/>
      <c r="J41" s="72"/>
      <c r="R41" s="849"/>
      <c r="S41" s="849"/>
      <c r="T41" s="849"/>
      <c r="U41" s="849"/>
      <c r="V41" s="849"/>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849"/>
      <c r="AX41" s="849"/>
      <c r="AY41" s="849"/>
      <c r="AZ41" s="849"/>
      <c r="BA41" s="849"/>
      <c r="BB41" s="849"/>
      <c r="BC41" s="849"/>
      <c r="BD41" s="849"/>
      <c r="BE41" s="849"/>
      <c r="BF41" s="849"/>
      <c r="BG41" s="849"/>
      <c r="BH41" s="849"/>
      <c r="BI41" s="849"/>
      <c r="BJ41" s="849"/>
      <c r="BK41" s="849"/>
      <c r="BL41" s="849"/>
      <c r="BM41" s="849"/>
      <c r="BN41" s="849"/>
      <c r="BO41" s="849"/>
      <c r="BP41" s="849"/>
      <c r="BQ41" s="849"/>
      <c r="BR41" s="849"/>
      <c r="BS41" s="849"/>
      <c r="BT41" s="849"/>
      <c r="BU41" s="849"/>
      <c r="BV41" s="849"/>
      <c r="BW41" s="849"/>
      <c r="BX41" s="849"/>
      <c r="BY41" s="849"/>
      <c r="BZ41" s="849"/>
      <c r="CA41" s="849"/>
      <c r="CB41" s="849"/>
      <c r="CC41" s="849"/>
      <c r="CD41" s="849"/>
      <c r="CE41" s="849"/>
      <c r="CF41" s="849"/>
      <c r="CG41" s="849"/>
      <c r="CH41" s="849"/>
      <c r="CI41" s="849"/>
      <c r="CJ41" s="849"/>
      <c r="CK41" s="849"/>
      <c r="CL41" s="849"/>
      <c r="CM41" s="849"/>
      <c r="CN41" s="849"/>
      <c r="CO41" s="849"/>
      <c r="CP41" s="849"/>
      <c r="CQ41" s="849"/>
      <c r="CR41" s="849"/>
      <c r="CS41" s="849"/>
      <c r="CT41" s="849"/>
      <c r="CU41" s="849"/>
      <c r="CV41" s="849"/>
      <c r="CW41" s="849"/>
      <c r="CX41" s="849"/>
      <c r="CY41" s="849"/>
      <c r="CZ41" s="849"/>
      <c r="DA41" s="849"/>
      <c r="DB41" s="849"/>
      <c r="DC41" s="849"/>
      <c r="DD41" s="849"/>
      <c r="DE41" s="849"/>
      <c r="DF41" s="849"/>
      <c r="DG41" s="849"/>
      <c r="DH41" s="849"/>
      <c r="DI41" s="849"/>
      <c r="DJ41" s="849"/>
      <c r="DK41" s="849"/>
      <c r="DL41" s="849"/>
      <c r="DM41" s="849"/>
      <c r="DN41" s="849"/>
      <c r="DO41" s="849"/>
      <c r="DP41" s="849"/>
      <c r="DQ41" s="849"/>
      <c r="DR41" s="849"/>
      <c r="DS41" s="849"/>
      <c r="DT41" s="849"/>
      <c r="DU41" s="849"/>
      <c r="DV41" s="849"/>
      <c r="DW41" s="849"/>
      <c r="DX41" s="849"/>
      <c r="DY41" s="849"/>
      <c r="DZ41" s="849"/>
      <c r="EA41" s="849"/>
      <c r="EB41" s="849"/>
      <c r="EC41" s="849"/>
      <c r="ED41" s="849"/>
      <c r="EE41" s="849"/>
      <c r="EF41" s="849"/>
      <c r="EG41" s="849"/>
      <c r="EH41" s="849"/>
      <c r="EI41" s="849"/>
      <c r="EJ41" s="849"/>
      <c r="EK41" s="849"/>
      <c r="EL41" s="849"/>
      <c r="EM41" s="849"/>
      <c r="EN41" s="849"/>
      <c r="EO41" s="849"/>
      <c r="EP41" s="849"/>
      <c r="EQ41" s="849"/>
      <c r="ER41" s="849"/>
      <c r="ES41" s="849"/>
      <c r="ET41" s="849"/>
      <c r="EU41" s="849"/>
      <c r="EV41" s="849"/>
      <c r="EW41" s="849"/>
      <c r="EX41" s="849"/>
      <c r="EY41" s="849"/>
      <c r="EZ41" s="849"/>
      <c r="FA41" s="849"/>
      <c r="FB41" s="849"/>
      <c r="FC41" s="849"/>
      <c r="FD41" s="849"/>
      <c r="FE41" s="849"/>
      <c r="FF41" s="849"/>
      <c r="FG41" s="849"/>
      <c r="FH41" s="849"/>
      <c r="FI41" s="849"/>
      <c r="FJ41" s="849"/>
      <c r="FK41" s="849"/>
      <c r="FL41" s="849"/>
      <c r="FM41" s="849"/>
      <c r="FN41" s="849"/>
      <c r="FO41" s="849"/>
      <c r="FP41" s="849"/>
      <c r="FQ41" s="849"/>
      <c r="FR41" s="849"/>
      <c r="FS41" s="849"/>
      <c r="FT41" s="849"/>
      <c r="FU41" s="849"/>
      <c r="FV41" s="849"/>
      <c r="FW41" s="849"/>
      <c r="FX41" s="849"/>
      <c r="FY41" s="849"/>
      <c r="FZ41" s="849"/>
      <c r="GA41" s="849"/>
      <c r="GB41" s="849"/>
      <c r="GC41" s="849"/>
      <c r="GD41" s="849"/>
      <c r="GE41" s="849"/>
      <c r="GF41" s="849"/>
      <c r="GG41" s="849"/>
      <c r="GH41" s="849"/>
      <c r="GI41" s="849"/>
      <c r="GJ41" s="849"/>
      <c r="GK41" s="849"/>
      <c r="GL41" s="849"/>
      <c r="GM41" s="849"/>
      <c r="GN41" s="849"/>
      <c r="GO41" s="849"/>
      <c r="GP41" s="849"/>
      <c r="GQ41" s="849"/>
      <c r="GR41" s="849"/>
      <c r="GS41" s="849"/>
      <c r="GT41" s="849"/>
      <c r="GU41" s="849"/>
      <c r="GV41" s="849"/>
      <c r="GW41" s="849"/>
      <c r="GX41" s="849"/>
      <c r="GY41" s="849"/>
      <c r="GZ41" s="849"/>
      <c r="HA41" s="849"/>
      <c r="HB41" s="849"/>
      <c r="HC41" s="849"/>
      <c r="HD41" s="849"/>
      <c r="HE41" s="849"/>
      <c r="HF41" s="849"/>
      <c r="HG41" s="849"/>
      <c r="HH41" s="849"/>
      <c r="HI41" s="849"/>
      <c r="HJ41" s="849"/>
      <c r="HK41" s="849"/>
      <c r="HL41" s="849"/>
      <c r="HM41" s="849"/>
      <c r="HN41" s="849"/>
      <c r="HO41" s="849"/>
      <c r="HP41" s="849"/>
      <c r="HQ41" s="849"/>
      <c r="HR41" s="849"/>
      <c r="HS41" s="849"/>
      <c r="HT41" s="849"/>
      <c r="HU41" s="849"/>
      <c r="HV41" s="849"/>
      <c r="HW41" s="849"/>
      <c r="HX41" s="849"/>
      <c r="HY41" s="849"/>
      <c r="HZ41" s="849"/>
      <c r="IA41" s="849"/>
      <c r="IB41" s="849"/>
      <c r="IC41" s="849"/>
      <c r="ID41" s="849"/>
      <c r="IE41" s="849"/>
      <c r="IF41" s="849"/>
      <c r="IG41" s="849"/>
      <c r="IH41" s="849"/>
      <c r="II41" s="849"/>
      <c r="IJ41" s="849"/>
      <c r="IK41" s="849"/>
      <c r="IL41" s="849"/>
      <c r="IM41" s="849"/>
      <c r="IN41" s="849"/>
      <c r="IO41" s="849"/>
      <c r="IP41" s="849"/>
      <c r="IQ41" s="849"/>
      <c r="IR41" s="849"/>
      <c r="IS41" s="849"/>
      <c r="IT41" s="849"/>
    </row>
    <row r="42" spans="1:254" s="848" customFormat="1" ht="18">
      <c r="A42" s="2141" t="s">
        <v>226</v>
      </c>
      <c r="B42" s="2142"/>
      <c r="C42" s="2142"/>
      <c r="D42" s="2142"/>
      <c r="E42" s="2142"/>
      <c r="F42" s="2142"/>
      <c r="G42" s="2142"/>
      <c r="H42" s="2142"/>
      <c r="I42" s="2142"/>
      <c r="J42" s="2142"/>
      <c r="K42" s="849"/>
      <c r="L42" s="849"/>
      <c r="M42" s="849"/>
      <c r="N42" s="849"/>
      <c r="O42" s="849"/>
      <c r="P42" s="849"/>
      <c r="Q42" s="849"/>
      <c r="R42" s="849"/>
      <c r="S42" s="849"/>
      <c r="T42" s="849"/>
      <c r="U42" s="849"/>
      <c r="V42" s="849"/>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849"/>
      <c r="AX42" s="849"/>
      <c r="AY42" s="849"/>
      <c r="AZ42" s="849"/>
      <c r="BA42" s="849"/>
      <c r="BB42" s="849"/>
      <c r="BC42" s="849"/>
      <c r="BD42" s="849"/>
      <c r="BE42" s="849"/>
      <c r="BF42" s="849"/>
      <c r="BG42" s="849"/>
      <c r="BH42" s="849"/>
      <c r="BI42" s="849"/>
      <c r="BJ42" s="849"/>
      <c r="BK42" s="849"/>
      <c r="BL42" s="849"/>
      <c r="BM42" s="849"/>
      <c r="BN42" s="849"/>
      <c r="BO42" s="849"/>
      <c r="BP42" s="849"/>
      <c r="BQ42" s="849"/>
      <c r="BR42" s="849"/>
      <c r="BS42" s="849"/>
      <c r="BT42" s="849"/>
      <c r="BU42" s="849"/>
      <c r="BV42" s="849"/>
      <c r="BW42" s="849"/>
      <c r="BX42" s="849"/>
      <c r="BY42" s="849"/>
      <c r="BZ42" s="849"/>
      <c r="CA42" s="849"/>
      <c r="CB42" s="849"/>
      <c r="CC42" s="849"/>
      <c r="CD42" s="849"/>
      <c r="CE42" s="849"/>
      <c r="CF42" s="849"/>
      <c r="CG42" s="849"/>
      <c r="CH42" s="849"/>
      <c r="CI42" s="849"/>
      <c r="CJ42" s="849"/>
      <c r="CK42" s="849"/>
      <c r="CL42" s="849"/>
      <c r="CM42" s="849"/>
      <c r="CN42" s="849"/>
      <c r="CO42" s="849"/>
      <c r="CP42" s="849"/>
      <c r="CQ42" s="849"/>
      <c r="CR42" s="849"/>
      <c r="CS42" s="849"/>
      <c r="CT42" s="849"/>
      <c r="CU42" s="849"/>
      <c r="CV42" s="849"/>
      <c r="CW42" s="849"/>
      <c r="CX42" s="849"/>
      <c r="CY42" s="849"/>
      <c r="CZ42" s="849"/>
      <c r="DA42" s="849"/>
      <c r="DB42" s="849"/>
      <c r="DC42" s="849"/>
      <c r="DD42" s="849"/>
      <c r="DE42" s="849"/>
      <c r="DF42" s="849"/>
      <c r="DG42" s="849"/>
      <c r="DH42" s="849"/>
      <c r="DI42" s="849"/>
      <c r="DJ42" s="849"/>
      <c r="DK42" s="849"/>
      <c r="DL42" s="849"/>
      <c r="DM42" s="849"/>
      <c r="DN42" s="849"/>
      <c r="DO42" s="849"/>
      <c r="DP42" s="849"/>
      <c r="DQ42" s="849"/>
      <c r="DR42" s="849"/>
      <c r="DS42" s="849"/>
      <c r="DT42" s="849"/>
      <c r="DU42" s="849"/>
      <c r="DV42" s="849"/>
      <c r="DW42" s="849"/>
      <c r="DX42" s="849"/>
      <c r="DY42" s="849"/>
      <c r="DZ42" s="849"/>
      <c r="EA42" s="849"/>
      <c r="EB42" s="849"/>
      <c r="EC42" s="849"/>
      <c r="ED42" s="849"/>
      <c r="EE42" s="849"/>
      <c r="EF42" s="849"/>
      <c r="EG42" s="849"/>
      <c r="EH42" s="849"/>
      <c r="EI42" s="849"/>
      <c r="EJ42" s="849"/>
      <c r="EK42" s="849"/>
      <c r="EL42" s="849"/>
      <c r="EM42" s="849"/>
      <c r="EN42" s="849"/>
      <c r="EO42" s="849"/>
      <c r="EP42" s="849"/>
      <c r="EQ42" s="849"/>
      <c r="ER42" s="849"/>
      <c r="ES42" s="849"/>
      <c r="ET42" s="849"/>
      <c r="EU42" s="849"/>
      <c r="EV42" s="849"/>
      <c r="EW42" s="849"/>
      <c r="EX42" s="849"/>
      <c r="EY42" s="849"/>
      <c r="EZ42" s="849"/>
      <c r="FA42" s="849"/>
      <c r="FB42" s="849"/>
      <c r="FC42" s="849"/>
      <c r="FD42" s="849"/>
      <c r="FE42" s="849"/>
      <c r="FF42" s="849"/>
      <c r="FG42" s="849"/>
      <c r="FH42" s="849"/>
      <c r="FI42" s="849"/>
      <c r="FJ42" s="849"/>
      <c r="FK42" s="849"/>
      <c r="FL42" s="849"/>
      <c r="FM42" s="849"/>
      <c r="FN42" s="849"/>
      <c r="FO42" s="849"/>
      <c r="FP42" s="849"/>
      <c r="FQ42" s="849"/>
      <c r="FR42" s="849"/>
      <c r="FS42" s="849"/>
      <c r="FT42" s="849"/>
      <c r="FU42" s="849"/>
      <c r="FV42" s="849"/>
      <c r="FW42" s="849"/>
      <c r="FX42" s="849"/>
      <c r="FY42" s="849"/>
      <c r="FZ42" s="849"/>
      <c r="GA42" s="849"/>
      <c r="GB42" s="849"/>
      <c r="GC42" s="849"/>
      <c r="GD42" s="849"/>
      <c r="GE42" s="849"/>
      <c r="GF42" s="849"/>
      <c r="GG42" s="849"/>
      <c r="GH42" s="849"/>
      <c r="GI42" s="849"/>
      <c r="GJ42" s="849"/>
      <c r="GK42" s="849"/>
      <c r="GL42" s="849"/>
      <c r="GM42" s="849"/>
      <c r="GN42" s="849"/>
      <c r="GO42" s="849"/>
      <c r="GP42" s="849"/>
      <c r="GQ42" s="849"/>
      <c r="GR42" s="849"/>
      <c r="GS42" s="849"/>
      <c r="GT42" s="849"/>
      <c r="GU42" s="849"/>
      <c r="GV42" s="849"/>
      <c r="GW42" s="849"/>
      <c r="GX42" s="849"/>
      <c r="GY42" s="849"/>
      <c r="GZ42" s="849"/>
      <c r="HA42" s="849"/>
      <c r="HB42" s="849"/>
      <c r="HC42" s="849"/>
      <c r="HD42" s="849"/>
      <c r="HE42" s="849"/>
      <c r="HF42" s="849"/>
      <c r="HG42" s="849"/>
      <c r="HH42" s="849"/>
      <c r="HI42" s="849"/>
      <c r="HJ42" s="849"/>
      <c r="HK42" s="849"/>
      <c r="HL42" s="849"/>
      <c r="HM42" s="849"/>
      <c r="HN42" s="849"/>
      <c r="HO42" s="849"/>
      <c r="HP42" s="849"/>
      <c r="HQ42" s="849"/>
      <c r="HR42" s="849"/>
      <c r="HS42" s="849"/>
      <c r="HT42" s="849"/>
      <c r="HU42" s="849"/>
      <c r="HV42" s="849"/>
      <c r="HW42" s="849"/>
      <c r="HX42" s="849"/>
      <c r="HY42" s="849"/>
      <c r="HZ42" s="849"/>
      <c r="IA42" s="849"/>
      <c r="IB42" s="849"/>
      <c r="IC42" s="849"/>
      <c r="ID42" s="849"/>
      <c r="IE42" s="849"/>
      <c r="IF42" s="849"/>
      <c r="IG42" s="849"/>
      <c r="IH42" s="849"/>
      <c r="II42" s="849"/>
      <c r="IJ42" s="849"/>
      <c r="IK42" s="849"/>
      <c r="IL42" s="849"/>
      <c r="IM42" s="849"/>
      <c r="IN42" s="849"/>
      <c r="IO42" s="849"/>
      <c r="IP42" s="849"/>
      <c r="IQ42" s="849"/>
      <c r="IR42" s="849"/>
      <c r="IS42" s="849"/>
      <c r="IT42" s="849"/>
    </row>
    <row r="43" spans="1:254">
      <c r="A43" s="72"/>
      <c r="B43" s="72"/>
      <c r="C43" s="72"/>
      <c r="D43" s="72"/>
      <c r="E43" s="72"/>
      <c r="F43" s="72"/>
      <c r="G43" s="72"/>
      <c r="H43" s="72"/>
      <c r="I43" s="72"/>
      <c r="J43" s="72"/>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49"/>
      <c r="AY43" s="849"/>
      <c r="AZ43" s="849"/>
      <c r="BA43" s="849"/>
      <c r="BB43" s="849"/>
      <c r="BC43" s="849"/>
      <c r="BD43" s="849"/>
      <c r="BE43" s="849"/>
      <c r="BF43" s="849"/>
      <c r="BG43" s="849"/>
      <c r="BH43" s="849"/>
      <c r="BI43" s="849"/>
      <c r="BJ43" s="849"/>
      <c r="BK43" s="849"/>
      <c r="BL43" s="849"/>
      <c r="BM43" s="849"/>
      <c r="BN43" s="849"/>
      <c r="BO43" s="849"/>
      <c r="BP43" s="849"/>
      <c r="BQ43" s="849"/>
      <c r="BR43" s="849"/>
      <c r="BS43" s="849"/>
      <c r="BT43" s="849"/>
      <c r="BU43" s="849"/>
      <c r="BV43" s="849"/>
      <c r="BW43" s="849"/>
      <c r="BX43" s="849"/>
      <c r="BY43" s="849"/>
      <c r="BZ43" s="849"/>
      <c r="CA43" s="849"/>
      <c r="CB43" s="849"/>
      <c r="CC43" s="849"/>
      <c r="CD43" s="849"/>
      <c r="CE43" s="849"/>
      <c r="CF43" s="849"/>
      <c r="CG43" s="849"/>
      <c r="CH43" s="849"/>
      <c r="CI43" s="849"/>
      <c r="CJ43" s="849"/>
      <c r="CK43" s="849"/>
      <c r="CL43" s="849"/>
      <c r="CM43" s="849"/>
      <c r="CN43" s="849"/>
      <c r="CO43" s="849"/>
      <c r="CP43" s="849"/>
      <c r="CQ43" s="849"/>
      <c r="CR43" s="849"/>
      <c r="CS43" s="849"/>
      <c r="CT43" s="849"/>
      <c r="CU43" s="849"/>
      <c r="CV43" s="849"/>
      <c r="CW43" s="849"/>
      <c r="CX43" s="849"/>
      <c r="CY43" s="849"/>
      <c r="CZ43" s="849"/>
      <c r="DA43" s="849"/>
      <c r="DB43" s="849"/>
      <c r="DC43" s="849"/>
      <c r="DD43" s="849"/>
      <c r="DE43" s="849"/>
      <c r="DF43" s="849"/>
      <c r="DG43" s="849"/>
      <c r="DH43" s="849"/>
      <c r="DI43" s="849"/>
      <c r="DJ43" s="849"/>
      <c r="DK43" s="849"/>
      <c r="DL43" s="849"/>
      <c r="DM43" s="849"/>
      <c r="DN43" s="849"/>
      <c r="DO43" s="849"/>
      <c r="DP43" s="849"/>
      <c r="DQ43" s="849"/>
      <c r="DR43" s="849"/>
      <c r="DS43" s="849"/>
      <c r="DT43" s="849"/>
      <c r="DU43" s="849"/>
      <c r="DV43" s="849"/>
      <c r="DW43" s="849"/>
      <c r="DX43" s="849"/>
      <c r="DY43" s="849"/>
      <c r="DZ43" s="849"/>
      <c r="EA43" s="849"/>
      <c r="EB43" s="849"/>
      <c r="EC43" s="849"/>
      <c r="ED43" s="849"/>
      <c r="EE43" s="849"/>
      <c r="EF43" s="849"/>
      <c r="EG43" s="849"/>
      <c r="EH43" s="849"/>
      <c r="EI43" s="849"/>
      <c r="EJ43" s="849"/>
      <c r="EK43" s="849"/>
      <c r="EL43" s="849"/>
      <c r="EM43" s="849"/>
      <c r="EN43" s="849"/>
      <c r="EO43" s="849"/>
      <c r="EP43" s="849"/>
      <c r="EQ43" s="849"/>
      <c r="ER43" s="849"/>
      <c r="ES43" s="849"/>
      <c r="ET43" s="849"/>
      <c r="EU43" s="849"/>
      <c r="EV43" s="849"/>
      <c r="EW43" s="849"/>
      <c r="EX43" s="849"/>
      <c r="EY43" s="849"/>
      <c r="EZ43" s="849"/>
      <c r="FA43" s="849"/>
      <c r="FB43" s="849"/>
      <c r="FC43" s="849"/>
      <c r="FD43" s="849"/>
      <c r="FE43" s="849"/>
      <c r="FF43" s="849"/>
      <c r="FG43" s="849"/>
      <c r="FH43" s="849"/>
      <c r="FI43" s="849"/>
      <c r="FJ43" s="849"/>
      <c r="FK43" s="849"/>
      <c r="FL43" s="849"/>
      <c r="FM43" s="849"/>
      <c r="FN43" s="849"/>
      <c r="FO43" s="849"/>
      <c r="FP43" s="849"/>
      <c r="FQ43" s="849"/>
      <c r="FR43" s="849"/>
      <c r="FS43" s="849"/>
      <c r="FT43" s="849"/>
      <c r="FU43" s="849"/>
      <c r="FV43" s="849"/>
      <c r="FW43" s="849"/>
      <c r="FX43" s="849"/>
      <c r="FY43" s="849"/>
      <c r="FZ43" s="849"/>
      <c r="GA43" s="849"/>
      <c r="GB43" s="849"/>
      <c r="GC43" s="849"/>
      <c r="GD43" s="849"/>
      <c r="GE43" s="849"/>
      <c r="GF43" s="849"/>
      <c r="GG43" s="849"/>
      <c r="GH43" s="849"/>
      <c r="GI43" s="849"/>
      <c r="GJ43" s="849"/>
      <c r="GK43" s="849"/>
      <c r="GL43" s="849"/>
      <c r="GM43" s="849"/>
      <c r="GN43" s="849"/>
      <c r="GO43" s="849"/>
      <c r="GP43" s="849"/>
      <c r="GQ43" s="849"/>
      <c r="GR43" s="849"/>
      <c r="GS43" s="849"/>
      <c r="GT43" s="849"/>
      <c r="GU43" s="849"/>
      <c r="GV43" s="849"/>
      <c r="GW43" s="849"/>
      <c r="GX43" s="849"/>
      <c r="GY43" s="849"/>
      <c r="GZ43" s="849"/>
      <c r="HA43" s="849"/>
      <c r="HB43" s="849"/>
      <c r="HC43" s="849"/>
      <c r="HD43" s="849"/>
      <c r="HE43" s="849"/>
      <c r="HF43" s="849"/>
      <c r="HG43" s="849"/>
      <c r="HH43" s="849"/>
      <c r="HI43" s="849"/>
      <c r="HJ43" s="849"/>
      <c r="HK43" s="849"/>
      <c r="HL43" s="849"/>
      <c r="HM43" s="849"/>
      <c r="HN43" s="849"/>
      <c r="HO43" s="849"/>
      <c r="HP43" s="849"/>
      <c r="HQ43" s="849"/>
      <c r="HR43" s="849"/>
      <c r="HS43" s="849"/>
      <c r="HT43" s="849"/>
      <c r="HU43" s="849"/>
      <c r="HV43" s="849"/>
      <c r="HW43" s="849"/>
      <c r="HX43" s="849"/>
      <c r="HY43" s="849"/>
      <c r="HZ43" s="849"/>
      <c r="IA43" s="849"/>
      <c r="IB43" s="849"/>
      <c r="IC43" s="849"/>
      <c r="ID43" s="849"/>
      <c r="IE43" s="849"/>
      <c r="IF43" s="849"/>
      <c r="IG43" s="849"/>
      <c r="IH43" s="849"/>
      <c r="II43" s="849"/>
      <c r="IJ43" s="849"/>
      <c r="IK43" s="849"/>
      <c r="IL43" s="849"/>
      <c r="IM43" s="849"/>
      <c r="IN43" s="849"/>
      <c r="IO43" s="849"/>
      <c r="IP43" s="849"/>
      <c r="IQ43" s="849"/>
      <c r="IR43" s="849"/>
      <c r="IS43" s="849"/>
      <c r="IT43" s="849"/>
    </row>
    <row r="44" spans="1:254" s="848" customFormat="1" ht="13.5" customHeight="1">
      <c r="A44" s="850" t="s">
        <v>174</v>
      </c>
      <c r="B44" s="77"/>
      <c r="C44" s="77"/>
      <c r="D44" s="77"/>
      <c r="E44" s="77"/>
      <c r="F44" s="77"/>
      <c r="G44" s="77"/>
      <c r="H44" s="77"/>
      <c r="I44" s="77"/>
      <c r="J44" s="77"/>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849"/>
      <c r="AX44" s="849"/>
      <c r="AY44" s="849"/>
      <c r="AZ44" s="849"/>
      <c r="BA44" s="849"/>
      <c r="BB44" s="849"/>
      <c r="BC44" s="849"/>
      <c r="BD44" s="849"/>
      <c r="BE44" s="849"/>
      <c r="BF44" s="849"/>
      <c r="BG44" s="849"/>
      <c r="BH44" s="849"/>
      <c r="BI44" s="849"/>
      <c r="BJ44" s="849"/>
      <c r="BK44" s="849"/>
      <c r="BL44" s="849"/>
      <c r="BM44" s="849"/>
      <c r="BN44" s="849"/>
      <c r="BO44" s="849"/>
      <c r="BP44" s="849"/>
      <c r="BQ44" s="849"/>
      <c r="BR44" s="849"/>
      <c r="BS44" s="849"/>
      <c r="BT44" s="849"/>
      <c r="BU44" s="849"/>
      <c r="BV44" s="849"/>
      <c r="BW44" s="849"/>
      <c r="BX44" s="849"/>
      <c r="BY44" s="849"/>
      <c r="BZ44" s="849"/>
      <c r="CA44" s="849"/>
      <c r="CB44" s="849"/>
      <c r="CC44" s="849"/>
      <c r="CD44" s="849"/>
      <c r="CE44" s="849"/>
      <c r="CF44" s="849"/>
      <c r="CG44" s="849"/>
      <c r="CH44" s="849"/>
      <c r="CI44" s="849"/>
      <c r="CJ44" s="849"/>
      <c r="CK44" s="849"/>
      <c r="CL44" s="849"/>
      <c r="CM44" s="849"/>
      <c r="CN44" s="849"/>
      <c r="CO44" s="849"/>
      <c r="CP44" s="849"/>
      <c r="CQ44" s="849"/>
      <c r="CR44" s="849"/>
      <c r="CS44" s="849"/>
      <c r="CT44" s="849"/>
      <c r="CU44" s="849"/>
      <c r="CV44" s="849"/>
      <c r="CW44" s="849"/>
      <c r="CX44" s="849"/>
      <c r="CY44" s="849"/>
      <c r="CZ44" s="849"/>
      <c r="DA44" s="849"/>
      <c r="DB44" s="849"/>
      <c r="DC44" s="849"/>
      <c r="DD44" s="849"/>
      <c r="DE44" s="849"/>
      <c r="DF44" s="849"/>
      <c r="DG44" s="849"/>
      <c r="DH44" s="849"/>
      <c r="DI44" s="849"/>
      <c r="DJ44" s="849"/>
      <c r="DK44" s="849"/>
      <c r="DL44" s="849"/>
      <c r="DM44" s="849"/>
      <c r="DN44" s="849"/>
      <c r="DO44" s="849"/>
      <c r="DP44" s="849"/>
      <c r="DQ44" s="849"/>
      <c r="DR44" s="849"/>
      <c r="DS44" s="849"/>
      <c r="DT44" s="849"/>
      <c r="DU44" s="849"/>
      <c r="DV44" s="849"/>
      <c r="DW44" s="849"/>
      <c r="DX44" s="849"/>
      <c r="DY44" s="849"/>
      <c r="DZ44" s="849"/>
      <c r="EA44" s="849"/>
      <c r="EB44" s="849"/>
      <c r="EC44" s="849"/>
      <c r="ED44" s="849"/>
      <c r="EE44" s="849"/>
      <c r="EF44" s="849"/>
      <c r="EG44" s="849"/>
      <c r="EH44" s="849"/>
      <c r="EI44" s="849"/>
      <c r="EJ44" s="849"/>
      <c r="EK44" s="849"/>
      <c r="EL44" s="849"/>
      <c r="EM44" s="849"/>
      <c r="EN44" s="849"/>
      <c r="EO44" s="849"/>
      <c r="EP44" s="849"/>
      <c r="EQ44" s="849"/>
      <c r="ER44" s="849"/>
      <c r="ES44" s="849"/>
      <c r="ET44" s="849"/>
      <c r="EU44" s="849"/>
      <c r="EV44" s="849"/>
      <c r="EW44" s="849"/>
      <c r="EX44" s="849"/>
      <c r="EY44" s="849"/>
      <c r="EZ44" s="849"/>
      <c r="FA44" s="849"/>
      <c r="FB44" s="849"/>
      <c r="FC44" s="849"/>
      <c r="FD44" s="849"/>
      <c r="FE44" s="849"/>
      <c r="FF44" s="849"/>
      <c r="FG44" s="849"/>
      <c r="FH44" s="849"/>
      <c r="FI44" s="849"/>
      <c r="FJ44" s="849"/>
      <c r="FK44" s="849"/>
      <c r="FL44" s="849"/>
      <c r="FM44" s="849"/>
      <c r="FN44" s="849"/>
      <c r="FO44" s="849"/>
      <c r="FP44" s="849"/>
      <c r="FQ44" s="849"/>
      <c r="FR44" s="849"/>
      <c r="FS44" s="849"/>
      <c r="FT44" s="849"/>
      <c r="FU44" s="849"/>
      <c r="FV44" s="849"/>
      <c r="FW44" s="849"/>
      <c r="FX44" s="849"/>
      <c r="FY44" s="849"/>
      <c r="FZ44" s="849"/>
      <c r="GA44" s="849"/>
      <c r="GB44" s="849"/>
      <c r="GC44" s="849"/>
      <c r="GD44" s="849"/>
      <c r="GE44" s="849"/>
      <c r="GF44" s="849"/>
      <c r="GG44" s="849"/>
      <c r="GH44" s="849"/>
      <c r="GI44" s="849"/>
      <c r="GJ44" s="849"/>
      <c r="GK44" s="849"/>
      <c r="GL44" s="849"/>
      <c r="GM44" s="849"/>
      <c r="GN44" s="849"/>
      <c r="GO44" s="849"/>
      <c r="GP44" s="849"/>
      <c r="GQ44" s="849"/>
      <c r="GR44" s="849"/>
      <c r="GS44" s="849"/>
      <c r="GT44" s="849"/>
      <c r="GU44" s="849"/>
      <c r="GV44" s="849"/>
      <c r="GW44" s="849"/>
      <c r="GX44" s="849"/>
      <c r="GY44" s="849"/>
      <c r="GZ44" s="849"/>
      <c r="HA44" s="849"/>
      <c r="HB44" s="849"/>
      <c r="HC44" s="849"/>
      <c r="HD44" s="849"/>
      <c r="HE44" s="849"/>
      <c r="HF44" s="849"/>
      <c r="HG44" s="849"/>
      <c r="HH44" s="849"/>
      <c r="HI44" s="849"/>
      <c r="HJ44" s="849"/>
      <c r="HK44" s="849"/>
      <c r="HL44" s="849"/>
      <c r="HM44" s="849"/>
      <c r="HN44" s="849"/>
      <c r="HO44" s="849"/>
      <c r="HP44" s="849"/>
      <c r="HQ44" s="849"/>
      <c r="HR44" s="849"/>
      <c r="HS44" s="849"/>
      <c r="HT44" s="849"/>
      <c r="HU44" s="849"/>
      <c r="HV44" s="849"/>
      <c r="HW44" s="849"/>
      <c r="HX44" s="849"/>
      <c r="HY44" s="849"/>
      <c r="HZ44" s="849"/>
      <c r="IA44" s="849"/>
      <c r="IB44" s="849"/>
      <c r="IC44" s="849"/>
      <c r="ID44" s="849"/>
      <c r="IE44" s="849"/>
      <c r="IF44" s="849"/>
      <c r="IG44" s="849"/>
      <c r="IH44" s="849"/>
      <c r="II44" s="849"/>
      <c r="IJ44" s="849"/>
      <c r="IK44" s="849"/>
      <c r="IL44" s="849"/>
      <c r="IM44" s="849"/>
      <c r="IN44" s="849"/>
      <c r="IO44" s="849"/>
      <c r="IP44" s="849"/>
      <c r="IQ44" s="849"/>
      <c r="IR44" s="849"/>
      <c r="IS44" s="849"/>
      <c r="IT44" s="849"/>
    </row>
    <row r="45" spans="1:254" s="848" customFormat="1" ht="80.25" customHeight="1">
      <c r="A45" s="2448"/>
      <c r="B45" s="2449"/>
      <c r="C45" s="2449"/>
      <c r="D45" s="2449"/>
      <c r="E45" s="2449"/>
      <c r="F45" s="2449"/>
      <c r="G45" s="2449"/>
      <c r="H45" s="2449"/>
      <c r="I45" s="2449"/>
      <c r="J45" s="2450"/>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49"/>
      <c r="AY45" s="849"/>
      <c r="AZ45" s="849"/>
      <c r="BA45" s="849"/>
      <c r="BB45" s="849"/>
      <c r="BC45" s="849"/>
      <c r="BD45" s="849"/>
      <c r="BE45" s="849"/>
      <c r="BF45" s="849"/>
      <c r="BG45" s="849"/>
      <c r="BH45" s="849"/>
      <c r="BI45" s="849"/>
      <c r="BJ45" s="849"/>
      <c r="BK45" s="849"/>
      <c r="BL45" s="849"/>
      <c r="BM45" s="849"/>
      <c r="BN45" s="849"/>
      <c r="BO45" s="849"/>
      <c r="BP45" s="849"/>
      <c r="BQ45" s="849"/>
      <c r="BR45" s="849"/>
      <c r="BS45" s="849"/>
      <c r="BT45" s="849"/>
      <c r="BU45" s="849"/>
      <c r="BV45" s="849"/>
      <c r="BW45" s="849"/>
      <c r="BX45" s="849"/>
      <c r="BY45" s="849"/>
      <c r="BZ45" s="849"/>
      <c r="CA45" s="849"/>
      <c r="CB45" s="849"/>
      <c r="CC45" s="849"/>
      <c r="CD45" s="849"/>
      <c r="CE45" s="849"/>
      <c r="CF45" s="849"/>
      <c r="CG45" s="849"/>
      <c r="CH45" s="849"/>
      <c r="CI45" s="849"/>
      <c r="CJ45" s="849"/>
      <c r="CK45" s="849"/>
      <c r="CL45" s="849"/>
      <c r="CM45" s="849"/>
      <c r="CN45" s="849"/>
      <c r="CO45" s="849"/>
      <c r="CP45" s="849"/>
      <c r="CQ45" s="849"/>
      <c r="CR45" s="849"/>
      <c r="CS45" s="849"/>
      <c r="CT45" s="849"/>
      <c r="CU45" s="849"/>
      <c r="CV45" s="849"/>
      <c r="CW45" s="849"/>
      <c r="CX45" s="849"/>
      <c r="CY45" s="849"/>
      <c r="CZ45" s="849"/>
      <c r="DA45" s="849"/>
      <c r="DB45" s="849"/>
      <c r="DC45" s="849"/>
      <c r="DD45" s="849"/>
      <c r="DE45" s="849"/>
      <c r="DF45" s="849"/>
      <c r="DG45" s="849"/>
      <c r="DH45" s="849"/>
      <c r="DI45" s="849"/>
      <c r="DJ45" s="849"/>
      <c r="DK45" s="849"/>
      <c r="DL45" s="849"/>
      <c r="DM45" s="849"/>
      <c r="DN45" s="849"/>
      <c r="DO45" s="849"/>
      <c r="DP45" s="849"/>
      <c r="DQ45" s="849"/>
      <c r="DR45" s="849"/>
      <c r="DS45" s="849"/>
      <c r="DT45" s="849"/>
      <c r="DU45" s="849"/>
      <c r="DV45" s="849"/>
      <c r="DW45" s="849"/>
      <c r="DX45" s="849"/>
      <c r="DY45" s="849"/>
      <c r="DZ45" s="849"/>
      <c r="EA45" s="849"/>
      <c r="EB45" s="849"/>
      <c r="EC45" s="849"/>
      <c r="ED45" s="849"/>
      <c r="EE45" s="849"/>
      <c r="EF45" s="849"/>
      <c r="EG45" s="849"/>
      <c r="EH45" s="849"/>
      <c r="EI45" s="849"/>
      <c r="EJ45" s="849"/>
      <c r="EK45" s="849"/>
      <c r="EL45" s="849"/>
      <c r="EM45" s="849"/>
      <c r="EN45" s="849"/>
      <c r="EO45" s="849"/>
      <c r="EP45" s="849"/>
      <c r="EQ45" s="849"/>
      <c r="ER45" s="849"/>
      <c r="ES45" s="849"/>
      <c r="ET45" s="849"/>
      <c r="EU45" s="849"/>
      <c r="EV45" s="849"/>
      <c r="EW45" s="849"/>
      <c r="EX45" s="849"/>
      <c r="EY45" s="849"/>
      <c r="EZ45" s="849"/>
      <c r="FA45" s="849"/>
      <c r="FB45" s="849"/>
      <c r="FC45" s="849"/>
      <c r="FD45" s="849"/>
      <c r="FE45" s="849"/>
      <c r="FF45" s="849"/>
      <c r="FG45" s="849"/>
      <c r="FH45" s="849"/>
      <c r="FI45" s="849"/>
      <c r="FJ45" s="849"/>
      <c r="FK45" s="849"/>
      <c r="FL45" s="849"/>
      <c r="FM45" s="849"/>
      <c r="FN45" s="849"/>
      <c r="FO45" s="849"/>
      <c r="FP45" s="849"/>
      <c r="FQ45" s="849"/>
      <c r="FR45" s="849"/>
      <c r="FS45" s="849"/>
      <c r="FT45" s="849"/>
      <c r="FU45" s="849"/>
      <c r="FV45" s="849"/>
      <c r="FW45" s="849"/>
      <c r="FX45" s="849"/>
      <c r="FY45" s="849"/>
      <c r="FZ45" s="849"/>
      <c r="GA45" s="849"/>
      <c r="GB45" s="849"/>
      <c r="GC45" s="849"/>
      <c r="GD45" s="849"/>
      <c r="GE45" s="849"/>
      <c r="GF45" s="849"/>
      <c r="GG45" s="849"/>
      <c r="GH45" s="849"/>
      <c r="GI45" s="849"/>
      <c r="GJ45" s="849"/>
      <c r="GK45" s="849"/>
      <c r="GL45" s="849"/>
      <c r="GM45" s="849"/>
      <c r="GN45" s="849"/>
      <c r="GO45" s="849"/>
      <c r="GP45" s="849"/>
      <c r="GQ45" s="849"/>
      <c r="GR45" s="849"/>
      <c r="GS45" s="849"/>
      <c r="GT45" s="849"/>
      <c r="GU45" s="849"/>
      <c r="GV45" s="849"/>
      <c r="GW45" s="849"/>
      <c r="GX45" s="849"/>
      <c r="GY45" s="849"/>
      <c r="GZ45" s="849"/>
      <c r="HA45" s="849"/>
      <c r="HB45" s="849"/>
      <c r="HC45" s="849"/>
      <c r="HD45" s="849"/>
      <c r="HE45" s="849"/>
      <c r="HF45" s="849"/>
      <c r="HG45" s="849"/>
      <c r="HH45" s="849"/>
      <c r="HI45" s="849"/>
      <c r="HJ45" s="849"/>
      <c r="HK45" s="849"/>
      <c r="HL45" s="849"/>
      <c r="HM45" s="849"/>
      <c r="HN45" s="849"/>
      <c r="HO45" s="849"/>
      <c r="HP45" s="849"/>
      <c r="HQ45" s="849"/>
      <c r="HR45" s="849"/>
      <c r="HS45" s="849"/>
      <c r="HT45" s="849"/>
      <c r="HU45" s="849"/>
      <c r="HV45" s="849"/>
      <c r="HW45" s="849"/>
      <c r="HX45" s="849"/>
      <c r="HY45" s="849"/>
      <c r="HZ45" s="849"/>
      <c r="IA45" s="849"/>
      <c r="IB45" s="849"/>
      <c r="IC45" s="849"/>
      <c r="ID45" s="849"/>
      <c r="IE45" s="849"/>
      <c r="IF45" s="849"/>
      <c r="IG45" s="849"/>
      <c r="IH45" s="849"/>
      <c r="II45" s="849"/>
      <c r="IJ45" s="849"/>
      <c r="IK45" s="849"/>
      <c r="IL45" s="849"/>
      <c r="IM45" s="849"/>
      <c r="IN45" s="849"/>
      <c r="IO45" s="849"/>
      <c r="IP45" s="849"/>
      <c r="IQ45" s="849"/>
      <c r="IR45" s="849"/>
      <c r="IS45" s="849"/>
      <c r="IT45" s="849"/>
    </row>
    <row r="46" spans="1:254" s="844" customFormat="1" ht="47.25" customHeight="1">
      <c r="A46" s="847" t="s">
        <v>496</v>
      </c>
      <c r="B46" s="847"/>
      <c r="C46" s="847"/>
      <c r="D46" s="2442"/>
      <c r="E46" s="2442"/>
      <c r="F46" s="2442"/>
      <c r="G46" s="846"/>
      <c r="H46" s="846"/>
      <c r="I46" s="846"/>
      <c r="J46" s="845"/>
    </row>
    <row r="47" spans="1:254" s="844" customFormat="1" ht="27" customHeight="1">
      <c r="A47" s="847" t="s">
        <v>497</v>
      </c>
      <c r="B47" s="847"/>
      <c r="C47" s="847"/>
      <c r="D47" s="2447"/>
      <c r="E47" s="2447"/>
      <c r="F47" s="2447"/>
      <c r="G47" s="846"/>
      <c r="H47" s="846"/>
      <c r="I47" s="846"/>
      <c r="J47" s="845"/>
    </row>
    <row r="48" spans="1:254" s="844" customFormat="1" ht="27" customHeight="1">
      <c r="A48" s="847" t="s">
        <v>498</v>
      </c>
      <c r="B48" s="847"/>
      <c r="C48" s="847"/>
      <c r="D48" s="2447"/>
      <c r="E48" s="2447"/>
      <c r="F48" s="2447"/>
      <c r="G48" s="846"/>
      <c r="H48" s="846"/>
      <c r="I48" s="846"/>
      <c r="J48" s="845"/>
    </row>
    <row r="49" spans="1:254" s="844" customFormat="1" ht="27" customHeight="1">
      <c r="A49" s="847" t="s">
        <v>499</v>
      </c>
      <c r="B49" s="847"/>
      <c r="C49" s="847"/>
      <c r="D49" s="2442"/>
      <c r="E49" s="2442"/>
      <c r="F49" s="2442"/>
      <c r="G49" s="846"/>
      <c r="H49" s="846"/>
      <c r="I49" s="846"/>
      <c r="J49" s="845"/>
    </row>
    <row r="50" spans="1:254" s="723" customFormat="1">
      <c r="W50" s="692"/>
      <c r="X50" s="692"/>
      <c r="Y50" s="692"/>
      <c r="Z50" s="692"/>
      <c r="AA50" s="692"/>
      <c r="AB50" s="692"/>
      <c r="AC50" s="692"/>
      <c r="AD50" s="692"/>
      <c r="AE50" s="692"/>
      <c r="AF50" s="692"/>
      <c r="AG50" s="692"/>
      <c r="AH50" s="692"/>
      <c r="AI50" s="692"/>
      <c r="AJ50" s="692"/>
      <c r="AK50" s="692"/>
      <c r="AL50" s="692"/>
      <c r="AM50" s="692"/>
      <c r="AN50" s="692"/>
      <c r="AO50" s="692"/>
      <c r="AP50" s="692"/>
      <c r="AQ50" s="692"/>
      <c r="AR50" s="692"/>
      <c r="AS50" s="692"/>
      <c r="AT50" s="692"/>
      <c r="AU50" s="692"/>
      <c r="AV50" s="692"/>
      <c r="AW50" s="692"/>
      <c r="AX50" s="692"/>
      <c r="AY50" s="692"/>
      <c r="AZ50" s="692"/>
      <c r="BA50" s="692"/>
      <c r="BB50" s="692"/>
      <c r="BC50" s="692"/>
      <c r="BD50" s="692"/>
      <c r="BE50" s="692"/>
      <c r="BF50" s="692"/>
      <c r="BG50" s="692"/>
      <c r="BH50" s="692"/>
      <c r="BI50" s="692"/>
      <c r="BJ50" s="692"/>
      <c r="BK50" s="692"/>
      <c r="BL50" s="692"/>
      <c r="BM50" s="692"/>
      <c r="BN50" s="692"/>
      <c r="BO50" s="692"/>
      <c r="BP50" s="692"/>
      <c r="BQ50" s="692"/>
      <c r="BR50" s="692"/>
      <c r="BS50" s="692"/>
      <c r="BT50" s="692"/>
      <c r="BU50" s="692"/>
      <c r="BV50" s="692"/>
      <c r="BW50" s="692"/>
      <c r="BX50" s="692"/>
      <c r="BY50" s="692"/>
      <c r="BZ50" s="692"/>
      <c r="CA50" s="692"/>
      <c r="CB50" s="692"/>
      <c r="CC50" s="692"/>
      <c r="CD50" s="692"/>
      <c r="CE50" s="692"/>
      <c r="CF50" s="692"/>
      <c r="CG50" s="692"/>
      <c r="CH50" s="692"/>
      <c r="CI50" s="692"/>
      <c r="CJ50" s="692"/>
      <c r="CK50" s="692"/>
      <c r="CL50" s="692"/>
      <c r="CM50" s="692"/>
      <c r="CN50" s="692"/>
      <c r="CO50" s="692"/>
      <c r="CP50" s="692"/>
      <c r="CQ50" s="692"/>
      <c r="CR50" s="692"/>
      <c r="CS50" s="692"/>
      <c r="CT50" s="692"/>
      <c r="CU50" s="692"/>
      <c r="CV50" s="692"/>
      <c r="CW50" s="692"/>
      <c r="CX50" s="692"/>
      <c r="CY50" s="692"/>
      <c r="CZ50" s="692"/>
      <c r="DA50" s="692"/>
      <c r="DB50" s="692"/>
      <c r="DC50" s="692"/>
      <c r="DD50" s="692"/>
      <c r="DE50" s="692"/>
      <c r="DF50" s="692"/>
      <c r="DG50" s="692"/>
      <c r="DH50" s="692"/>
      <c r="DI50" s="692"/>
      <c r="DJ50" s="692"/>
      <c r="DK50" s="692"/>
      <c r="DL50" s="692"/>
      <c r="DM50" s="692"/>
      <c r="DN50" s="692"/>
      <c r="DO50" s="692"/>
      <c r="DP50" s="692"/>
      <c r="DQ50" s="692"/>
      <c r="DR50" s="692"/>
      <c r="DS50" s="692"/>
      <c r="DT50" s="692"/>
      <c r="DU50" s="692"/>
      <c r="DV50" s="692"/>
      <c r="DW50" s="692"/>
      <c r="DX50" s="692"/>
      <c r="DY50" s="692"/>
      <c r="DZ50" s="692"/>
      <c r="EA50" s="692"/>
      <c r="EB50" s="692"/>
      <c r="EC50" s="692"/>
      <c r="ED50" s="692"/>
      <c r="EE50" s="692"/>
      <c r="EF50" s="692"/>
      <c r="EG50" s="692"/>
      <c r="EH50" s="692"/>
      <c r="EI50" s="692"/>
      <c r="EJ50" s="692"/>
      <c r="EK50" s="692"/>
      <c r="EL50" s="692"/>
      <c r="EM50" s="692"/>
      <c r="EN50" s="692"/>
      <c r="EO50" s="692"/>
      <c r="EP50" s="692"/>
      <c r="EQ50" s="692"/>
      <c r="ER50" s="692"/>
      <c r="ES50" s="692"/>
      <c r="ET50" s="692"/>
      <c r="EU50" s="692"/>
      <c r="EV50" s="692"/>
      <c r="EW50" s="692"/>
      <c r="EX50" s="692"/>
      <c r="EY50" s="692"/>
      <c r="EZ50" s="692"/>
      <c r="FA50" s="692"/>
      <c r="FB50" s="692"/>
      <c r="FC50" s="692"/>
      <c r="FD50" s="692"/>
      <c r="FE50" s="692"/>
      <c r="FF50" s="692"/>
      <c r="FG50" s="692"/>
      <c r="FH50" s="692"/>
      <c r="FI50" s="692"/>
      <c r="FJ50" s="692"/>
      <c r="FK50" s="692"/>
      <c r="FL50" s="692"/>
      <c r="FM50" s="692"/>
      <c r="FN50" s="692"/>
      <c r="FO50" s="692"/>
      <c r="FP50" s="692"/>
      <c r="FQ50" s="692"/>
      <c r="FR50" s="692"/>
      <c r="FS50" s="692"/>
      <c r="FT50" s="692"/>
      <c r="FU50" s="692"/>
      <c r="FV50" s="692"/>
      <c r="FW50" s="692"/>
      <c r="FX50" s="692"/>
      <c r="FY50" s="692"/>
      <c r="FZ50" s="692"/>
      <c r="GA50" s="692"/>
      <c r="GB50" s="692"/>
      <c r="GC50" s="692"/>
      <c r="GD50" s="692"/>
      <c r="GE50" s="692"/>
      <c r="GF50" s="692"/>
      <c r="GG50" s="692"/>
      <c r="GH50" s="692"/>
      <c r="GI50" s="692"/>
      <c r="GJ50" s="692"/>
      <c r="GK50" s="692"/>
      <c r="GL50" s="692"/>
      <c r="GM50" s="692"/>
      <c r="GN50" s="692"/>
      <c r="GO50" s="692"/>
      <c r="GP50" s="692"/>
      <c r="GQ50" s="692"/>
      <c r="GR50" s="692"/>
      <c r="GS50" s="692"/>
      <c r="GT50" s="692"/>
      <c r="GU50" s="692"/>
      <c r="GV50" s="692"/>
      <c r="GW50" s="692"/>
      <c r="GX50" s="692"/>
      <c r="GY50" s="692"/>
      <c r="GZ50" s="692"/>
      <c r="HA50" s="692"/>
      <c r="HB50" s="692"/>
      <c r="HC50" s="692"/>
      <c r="HD50" s="692"/>
      <c r="HE50" s="692"/>
      <c r="HF50" s="692"/>
      <c r="HG50" s="692"/>
      <c r="HH50" s="692"/>
      <c r="HI50" s="692"/>
      <c r="HJ50" s="692"/>
      <c r="HK50" s="692"/>
      <c r="HL50" s="692"/>
      <c r="HM50" s="692"/>
      <c r="HN50" s="692"/>
      <c r="HO50" s="692"/>
      <c r="HP50" s="692"/>
      <c r="HQ50" s="692"/>
      <c r="HR50" s="692"/>
      <c r="HS50" s="692"/>
      <c r="HT50" s="692"/>
      <c r="HU50" s="692"/>
      <c r="HV50" s="692"/>
      <c r="HW50" s="692"/>
      <c r="HX50" s="692"/>
      <c r="HY50" s="692"/>
      <c r="HZ50" s="692"/>
      <c r="IA50" s="692"/>
      <c r="IB50" s="692"/>
      <c r="IC50" s="692"/>
      <c r="ID50" s="692"/>
      <c r="IE50" s="692"/>
      <c r="IF50" s="692"/>
      <c r="IG50" s="692"/>
      <c r="IH50" s="692"/>
      <c r="II50" s="692"/>
      <c r="IJ50" s="692"/>
      <c r="IK50" s="692"/>
      <c r="IL50" s="692"/>
      <c r="IM50" s="692"/>
      <c r="IN50" s="692"/>
      <c r="IO50" s="692"/>
      <c r="IP50" s="692"/>
      <c r="IQ50" s="692"/>
      <c r="IR50" s="692"/>
      <c r="IS50" s="692"/>
      <c r="IT50" s="692"/>
    </row>
    <row r="51" spans="1:254" s="723" customFormat="1">
      <c r="W51" s="692"/>
      <c r="X51" s="692"/>
      <c r="Y51" s="692"/>
      <c r="Z51" s="692"/>
      <c r="AA51" s="692"/>
      <c r="AB51" s="692"/>
      <c r="AC51" s="692"/>
      <c r="AD51" s="692"/>
      <c r="AE51" s="692"/>
      <c r="AF51" s="692"/>
      <c r="AG51" s="692"/>
      <c r="AH51" s="692"/>
      <c r="AI51" s="692"/>
      <c r="AJ51" s="692"/>
      <c r="AK51" s="692"/>
      <c r="AL51" s="692"/>
      <c r="AM51" s="692"/>
      <c r="AN51" s="692"/>
      <c r="AO51" s="692"/>
      <c r="AP51" s="692"/>
      <c r="AQ51" s="692"/>
      <c r="AR51" s="692"/>
      <c r="AS51" s="692"/>
      <c r="AT51" s="692"/>
      <c r="AU51" s="692"/>
      <c r="AV51" s="692"/>
      <c r="AW51" s="692"/>
      <c r="AX51" s="692"/>
      <c r="AY51" s="692"/>
      <c r="AZ51" s="692"/>
      <c r="BA51" s="692"/>
      <c r="BB51" s="692"/>
      <c r="BC51" s="692"/>
      <c r="BD51" s="692"/>
      <c r="BE51" s="692"/>
      <c r="BF51" s="692"/>
      <c r="BG51" s="692"/>
      <c r="BH51" s="692"/>
      <c r="BI51" s="692"/>
      <c r="BJ51" s="692"/>
      <c r="BK51" s="692"/>
      <c r="BL51" s="692"/>
      <c r="BM51" s="692"/>
      <c r="BN51" s="692"/>
      <c r="BO51" s="692"/>
      <c r="BP51" s="692"/>
      <c r="BQ51" s="692"/>
      <c r="BR51" s="692"/>
      <c r="BS51" s="692"/>
      <c r="BT51" s="692"/>
      <c r="BU51" s="692"/>
      <c r="BV51" s="692"/>
      <c r="BW51" s="692"/>
      <c r="BX51" s="692"/>
      <c r="BY51" s="692"/>
      <c r="BZ51" s="692"/>
      <c r="CA51" s="692"/>
      <c r="CB51" s="692"/>
      <c r="CC51" s="692"/>
      <c r="CD51" s="692"/>
      <c r="CE51" s="692"/>
      <c r="CF51" s="692"/>
      <c r="CG51" s="692"/>
      <c r="CH51" s="692"/>
      <c r="CI51" s="692"/>
      <c r="CJ51" s="692"/>
      <c r="CK51" s="692"/>
      <c r="CL51" s="692"/>
      <c r="CM51" s="692"/>
      <c r="CN51" s="692"/>
      <c r="CO51" s="692"/>
      <c r="CP51" s="692"/>
      <c r="CQ51" s="692"/>
      <c r="CR51" s="692"/>
      <c r="CS51" s="692"/>
      <c r="CT51" s="692"/>
      <c r="CU51" s="692"/>
      <c r="CV51" s="692"/>
      <c r="CW51" s="692"/>
      <c r="CX51" s="692"/>
      <c r="CY51" s="692"/>
      <c r="CZ51" s="692"/>
      <c r="DA51" s="692"/>
      <c r="DB51" s="692"/>
      <c r="DC51" s="692"/>
      <c r="DD51" s="692"/>
      <c r="DE51" s="692"/>
      <c r="DF51" s="692"/>
      <c r="DG51" s="692"/>
      <c r="DH51" s="692"/>
      <c r="DI51" s="692"/>
      <c r="DJ51" s="692"/>
      <c r="DK51" s="692"/>
      <c r="DL51" s="692"/>
      <c r="DM51" s="692"/>
      <c r="DN51" s="692"/>
      <c r="DO51" s="692"/>
      <c r="DP51" s="692"/>
      <c r="DQ51" s="692"/>
      <c r="DR51" s="692"/>
      <c r="DS51" s="692"/>
      <c r="DT51" s="692"/>
      <c r="DU51" s="692"/>
      <c r="DV51" s="692"/>
      <c r="DW51" s="692"/>
      <c r="DX51" s="692"/>
      <c r="DY51" s="692"/>
      <c r="DZ51" s="692"/>
      <c r="EA51" s="692"/>
      <c r="EB51" s="692"/>
      <c r="EC51" s="692"/>
      <c r="ED51" s="692"/>
      <c r="EE51" s="692"/>
      <c r="EF51" s="692"/>
      <c r="EG51" s="692"/>
      <c r="EH51" s="692"/>
      <c r="EI51" s="692"/>
      <c r="EJ51" s="692"/>
      <c r="EK51" s="692"/>
      <c r="EL51" s="692"/>
      <c r="EM51" s="692"/>
      <c r="EN51" s="692"/>
      <c r="EO51" s="692"/>
      <c r="EP51" s="692"/>
      <c r="EQ51" s="692"/>
      <c r="ER51" s="692"/>
      <c r="ES51" s="692"/>
      <c r="ET51" s="692"/>
      <c r="EU51" s="692"/>
      <c r="EV51" s="692"/>
      <c r="EW51" s="692"/>
      <c r="EX51" s="692"/>
      <c r="EY51" s="692"/>
      <c r="EZ51" s="692"/>
      <c r="FA51" s="692"/>
      <c r="FB51" s="692"/>
      <c r="FC51" s="692"/>
      <c r="FD51" s="692"/>
      <c r="FE51" s="692"/>
      <c r="FF51" s="692"/>
      <c r="FG51" s="692"/>
      <c r="FH51" s="692"/>
      <c r="FI51" s="692"/>
      <c r="FJ51" s="692"/>
      <c r="FK51" s="692"/>
      <c r="FL51" s="692"/>
      <c r="FM51" s="692"/>
      <c r="FN51" s="692"/>
      <c r="FO51" s="692"/>
      <c r="FP51" s="692"/>
      <c r="FQ51" s="692"/>
      <c r="FR51" s="692"/>
      <c r="FS51" s="692"/>
      <c r="FT51" s="692"/>
      <c r="FU51" s="692"/>
      <c r="FV51" s="692"/>
      <c r="FW51" s="692"/>
      <c r="FX51" s="692"/>
      <c r="FY51" s="692"/>
      <c r="FZ51" s="692"/>
      <c r="GA51" s="692"/>
      <c r="GB51" s="692"/>
      <c r="GC51" s="692"/>
      <c r="GD51" s="692"/>
      <c r="GE51" s="692"/>
      <c r="GF51" s="692"/>
      <c r="GG51" s="692"/>
      <c r="GH51" s="692"/>
      <c r="GI51" s="692"/>
      <c r="GJ51" s="692"/>
      <c r="GK51" s="692"/>
      <c r="GL51" s="692"/>
      <c r="GM51" s="692"/>
      <c r="GN51" s="692"/>
      <c r="GO51" s="692"/>
      <c r="GP51" s="692"/>
      <c r="GQ51" s="692"/>
      <c r="GR51" s="692"/>
      <c r="GS51" s="692"/>
      <c r="GT51" s="692"/>
      <c r="GU51" s="692"/>
      <c r="GV51" s="692"/>
      <c r="GW51" s="692"/>
      <c r="GX51" s="692"/>
      <c r="GY51" s="692"/>
      <c r="GZ51" s="692"/>
      <c r="HA51" s="692"/>
      <c r="HB51" s="692"/>
      <c r="HC51" s="692"/>
      <c r="HD51" s="692"/>
      <c r="HE51" s="692"/>
      <c r="HF51" s="692"/>
      <c r="HG51" s="692"/>
      <c r="HH51" s="692"/>
      <c r="HI51" s="692"/>
      <c r="HJ51" s="692"/>
      <c r="HK51" s="692"/>
      <c r="HL51" s="692"/>
      <c r="HM51" s="692"/>
      <c r="HN51" s="692"/>
      <c r="HO51" s="692"/>
      <c r="HP51" s="692"/>
      <c r="HQ51" s="692"/>
      <c r="HR51" s="692"/>
      <c r="HS51" s="692"/>
      <c r="HT51" s="692"/>
      <c r="HU51" s="692"/>
      <c r="HV51" s="692"/>
      <c r="HW51" s="692"/>
      <c r="HX51" s="692"/>
      <c r="HY51" s="692"/>
      <c r="HZ51" s="692"/>
      <c r="IA51" s="692"/>
      <c r="IB51" s="692"/>
      <c r="IC51" s="692"/>
      <c r="ID51" s="692"/>
      <c r="IE51" s="692"/>
      <c r="IF51" s="692"/>
      <c r="IG51" s="692"/>
      <c r="IH51" s="692"/>
      <c r="II51" s="692"/>
      <c r="IJ51" s="692"/>
      <c r="IK51" s="692"/>
      <c r="IL51" s="692"/>
      <c r="IM51" s="692"/>
      <c r="IN51" s="692"/>
      <c r="IO51" s="692"/>
      <c r="IP51" s="692"/>
      <c r="IQ51" s="692"/>
      <c r="IR51" s="692"/>
      <c r="IS51" s="692"/>
      <c r="IT51" s="692"/>
    </row>
    <row r="52" spans="1:254" s="723" customFormat="1">
      <c r="W52" s="692"/>
      <c r="X52" s="692"/>
      <c r="Y52" s="692"/>
      <c r="Z52" s="692"/>
      <c r="AA52" s="692"/>
      <c r="AB52" s="692"/>
      <c r="AC52" s="692"/>
      <c r="AD52" s="692"/>
      <c r="AE52" s="692"/>
      <c r="AF52" s="692"/>
      <c r="AG52" s="692"/>
      <c r="AH52" s="692"/>
      <c r="AI52" s="692"/>
      <c r="AJ52" s="692"/>
      <c r="AK52" s="692"/>
      <c r="AL52" s="692"/>
      <c r="AM52" s="692"/>
      <c r="AN52" s="692"/>
      <c r="AO52" s="692"/>
      <c r="AP52" s="692"/>
      <c r="AQ52" s="692"/>
      <c r="AR52" s="692"/>
      <c r="AS52" s="692"/>
      <c r="AT52" s="692"/>
      <c r="AU52" s="692"/>
      <c r="AV52" s="692"/>
      <c r="AW52" s="692"/>
      <c r="AX52" s="692"/>
      <c r="AY52" s="692"/>
      <c r="AZ52" s="692"/>
      <c r="BA52" s="692"/>
      <c r="BB52" s="692"/>
      <c r="BC52" s="692"/>
      <c r="BD52" s="692"/>
      <c r="BE52" s="692"/>
      <c r="BF52" s="692"/>
      <c r="BG52" s="692"/>
      <c r="BH52" s="692"/>
      <c r="BI52" s="692"/>
      <c r="BJ52" s="692"/>
      <c r="BK52" s="692"/>
      <c r="BL52" s="692"/>
      <c r="BM52" s="692"/>
      <c r="BN52" s="692"/>
      <c r="BO52" s="692"/>
      <c r="BP52" s="692"/>
      <c r="BQ52" s="692"/>
      <c r="BR52" s="692"/>
      <c r="BS52" s="692"/>
      <c r="BT52" s="692"/>
      <c r="BU52" s="692"/>
      <c r="BV52" s="692"/>
      <c r="BW52" s="692"/>
      <c r="BX52" s="692"/>
      <c r="BY52" s="692"/>
      <c r="BZ52" s="692"/>
      <c r="CA52" s="692"/>
      <c r="CB52" s="692"/>
      <c r="CC52" s="692"/>
      <c r="CD52" s="692"/>
      <c r="CE52" s="692"/>
      <c r="CF52" s="692"/>
      <c r="CG52" s="692"/>
      <c r="CH52" s="692"/>
      <c r="CI52" s="692"/>
      <c r="CJ52" s="692"/>
      <c r="CK52" s="692"/>
      <c r="CL52" s="692"/>
      <c r="CM52" s="692"/>
      <c r="CN52" s="692"/>
      <c r="CO52" s="692"/>
      <c r="CP52" s="692"/>
      <c r="CQ52" s="692"/>
      <c r="CR52" s="692"/>
      <c r="CS52" s="692"/>
      <c r="CT52" s="692"/>
      <c r="CU52" s="692"/>
      <c r="CV52" s="692"/>
      <c r="CW52" s="692"/>
      <c r="CX52" s="692"/>
      <c r="CY52" s="692"/>
      <c r="CZ52" s="692"/>
      <c r="DA52" s="692"/>
      <c r="DB52" s="692"/>
      <c r="DC52" s="692"/>
      <c r="DD52" s="692"/>
      <c r="DE52" s="692"/>
      <c r="DF52" s="692"/>
      <c r="DG52" s="692"/>
      <c r="DH52" s="692"/>
      <c r="DI52" s="692"/>
      <c r="DJ52" s="692"/>
      <c r="DK52" s="692"/>
      <c r="DL52" s="692"/>
      <c r="DM52" s="692"/>
      <c r="DN52" s="692"/>
      <c r="DO52" s="692"/>
      <c r="DP52" s="692"/>
      <c r="DQ52" s="692"/>
      <c r="DR52" s="692"/>
      <c r="DS52" s="692"/>
      <c r="DT52" s="692"/>
      <c r="DU52" s="692"/>
      <c r="DV52" s="692"/>
      <c r="DW52" s="692"/>
      <c r="DX52" s="692"/>
      <c r="DY52" s="692"/>
      <c r="DZ52" s="692"/>
      <c r="EA52" s="692"/>
      <c r="EB52" s="692"/>
      <c r="EC52" s="692"/>
      <c r="ED52" s="692"/>
      <c r="EE52" s="692"/>
      <c r="EF52" s="692"/>
      <c r="EG52" s="692"/>
      <c r="EH52" s="692"/>
      <c r="EI52" s="692"/>
      <c r="EJ52" s="692"/>
      <c r="EK52" s="692"/>
      <c r="EL52" s="692"/>
      <c r="EM52" s="692"/>
      <c r="EN52" s="692"/>
      <c r="EO52" s="692"/>
      <c r="EP52" s="692"/>
      <c r="EQ52" s="692"/>
      <c r="ER52" s="692"/>
      <c r="ES52" s="692"/>
      <c r="ET52" s="692"/>
      <c r="EU52" s="692"/>
      <c r="EV52" s="692"/>
      <c r="EW52" s="692"/>
      <c r="EX52" s="692"/>
      <c r="EY52" s="692"/>
      <c r="EZ52" s="692"/>
      <c r="FA52" s="692"/>
      <c r="FB52" s="692"/>
      <c r="FC52" s="692"/>
      <c r="FD52" s="692"/>
      <c r="FE52" s="692"/>
      <c r="FF52" s="692"/>
      <c r="FG52" s="692"/>
      <c r="FH52" s="692"/>
      <c r="FI52" s="692"/>
      <c r="FJ52" s="692"/>
      <c r="FK52" s="692"/>
      <c r="FL52" s="692"/>
      <c r="FM52" s="692"/>
      <c r="FN52" s="692"/>
      <c r="FO52" s="692"/>
      <c r="FP52" s="692"/>
      <c r="FQ52" s="692"/>
      <c r="FR52" s="692"/>
      <c r="FS52" s="692"/>
      <c r="FT52" s="692"/>
      <c r="FU52" s="692"/>
      <c r="FV52" s="692"/>
      <c r="FW52" s="692"/>
      <c r="FX52" s="692"/>
      <c r="FY52" s="692"/>
      <c r="FZ52" s="692"/>
      <c r="GA52" s="692"/>
      <c r="GB52" s="692"/>
      <c r="GC52" s="692"/>
      <c r="GD52" s="692"/>
      <c r="GE52" s="692"/>
      <c r="GF52" s="692"/>
      <c r="GG52" s="692"/>
      <c r="GH52" s="692"/>
      <c r="GI52" s="692"/>
      <c r="GJ52" s="692"/>
      <c r="GK52" s="692"/>
      <c r="GL52" s="692"/>
      <c r="GM52" s="692"/>
      <c r="GN52" s="692"/>
      <c r="GO52" s="692"/>
      <c r="GP52" s="692"/>
      <c r="GQ52" s="692"/>
      <c r="GR52" s="692"/>
      <c r="GS52" s="692"/>
      <c r="GT52" s="692"/>
      <c r="GU52" s="692"/>
      <c r="GV52" s="692"/>
      <c r="GW52" s="692"/>
      <c r="GX52" s="692"/>
      <c r="GY52" s="692"/>
      <c r="GZ52" s="692"/>
      <c r="HA52" s="692"/>
      <c r="HB52" s="692"/>
      <c r="HC52" s="692"/>
      <c r="HD52" s="692"/>
      <c r="HE52" s="692"/>
      <c r="HF52" s="692"/>
      <c r="HG52" s="692"/>
      <c r="HH52" s="692"/>
      <c r="HI52" s="692"/>
      <c r="HJ52" s="692"/>
      <c r="HK52" s="692"/>
      <c r="HL52" s="692"/>
      <c r="HM52" s="692"/>
      <c r="HN52" s="692"/>
      <c r="HO52" s="692"/>
      <c r="HP52" s="692"/>
      <c r="HQ52" s="692"/>
      <c r="HR52" s="692"/>
      <c r="HS52" s="692"/>
      <c r="HT52" s="692"/>
      <c r="HU52" s="692"/>
      <c r="HV52" s="692"/>
      <c r="HW52" s="692"/>
      <c r="HX52" s="692"/>
      <c r="HY52" s="692"/>
      <c r="HZ52" s="692"/>
      <c r="IA52" s="692"/>
      <c r="IB52" s="692"/>
      <c r="IC52" s="692"/>
      <c r="ID52" s="692"/>
      <c r="IE52" s="692"/>
      <c r="IF52" s="692"/>
      <c r="IG52" s="692"/>
      <c r="IH52" s="692"/>
      <c r="II52" s="692"/>
      <c r="IJ52" s="692"/>
      <c r="IK52" s="692"/>
      <c r="IL52" s="692"/>
      <c r="IM52" s="692"/>
      <c r="IN52" s="692"/>
      <c r="IO52" s="692"/>
      <c r="IP52" s="692"/>
      <c r="IQ52" s="692"/>
      <c r="IR52" s="692"/>
      <c r="IS52" s="692"/>
      <c r="IT52" s="692"/>
    </row>
    <row r="53" spans="1:254" s="723" customFormat="1">
      <c r="W53" s="692"/>
      <c r="X53" s="692"/>
      <c r="Y53" s="692"/>
      <c r="Z53" s="692"/>
      <c r="AA53" s="692"/>
      <c r="AB53" s="692"/>
      <c r="AC53" s="692"/>
      <c r="AD53" s="692"/>
      <c r="AE53" s="692"/>
      <c r="AF53" s="692"/>
      <c r="AG53" s="692"/>
      <c r="AH53" s="692"/>
      <c r="AI53" s="692"/>
      <c r="AJ53" s="692"/>
      <c r="AK53" s="692"/>
      <c r="AL53" s="692"/>
      <c r="AM53" s="692"/>
      <c r="AN53" s="692"/>
      <c r="AO53" s="692"/>
      <c r="AP53" s="692"/>
      <c r="AQ53" s="692"/>
      <c r="AR53" s="692"/>
      <c r="AS53" s="692"/>
      <c r="AT53" s="692"/>
      <c r="AU53" s="692"/>
      <c r="AV53" s="692"/>
      <c r="AW53" s="692"/>
      <c r="AX53" s="692"/>
      <c r="AY53" s="692"/>
      <c r="AZ53" s="692"/>
      <c r="BA53" s="692"/>
      <c r="BB53" s="692"/>
      <c r="BC53" s="692"/>
      <c r="BD53" s="692"/>
      <c r="BE53" s="692"/>
      <c r="BF53" s="692"/>
      <c r="BG53" s="692"/>
      <c r="BH53" s="692"/>
      <c r="BI53" s="692"/>
      <c r="BJ53" s="692"/>
      <c r="BK53" s="692"/>
      <c r="BL53" s="692"/>
      <c r="BM53" s="692"/>
      <c r="BN53" s="692"/>
      <c r="BO53" s="692"/>
      <c r="BP53" s="692"/>
      <c r="BQ53" s="692"/>
      <c r="BR53" s="692"/>
      <c r="BS53" s="692"/>
      <c r="BT53" s="692"/>
      <c r="BU53" s="692"/>
      <c r="BV53" s="692"/>
      <c r="BW53" s="692"/>
      <c r="BX53" s="692"/>
      <c r="BY53" s="692"/>
      <c r="BZ53" s="692"/>
      <c r="CA53" s="692"/>
      <c r="CB53" s="692"/>
      <c r="CC53" s="692"/>
      <c r="CD53" s="692"/>
      <c r="CE53" s="692"/>
      <c r="CF53" s="692"/>
      <c r="CG53" s="692"/>
      <c r="CH53" s="692"/>
      <c r="CI53" s="692"/>
      <c r="CJ53" s="692"/>
      <c r="CK53" s="692"/>
      <c r="CL53" s="692"/>
      <c r="CM53" s="692"/>
      <c r="CN53" s="692"/>
      <c r="CO53" s="692"/>
      <c r="CP53" s="692"/>
      <c r="CQ53" s="692"/>
      <c r="CR53" s="692"/>
      <c r="CS53" s="692"/>
      <c r="CT53" s="692"/>
      <c r="CU53" s="692"/>
      <c r="CV53" s="692"/>
      <c r="CW53" s="692"/>
      <c r="CX53" s="692"/>
      <c r="CY53" s="692"/>
      <c r="CZ53" s="692"/>
      <c r="DA53" s="692"/>
      <c r="DB53" s="692"/>
      <c r="DC53" s="692"/>
      <c r="DD53" s="692"/>
      <c r="DE53" s="692"/>
      <c r="DF53" s="692"/>
      <c r="DG53" s="692"/>
      <c r="DH53" s="692"/>
      <c r="DI53" s="692"/>
      <c r="DJ53" s="692"/>
      <c r="DK53" s="692"/>
      <c r="DL53" s="692"/>
      <c r="DM53" s="692"/>
      <c r="DN53" s="692"/>
      <c r="DO53" s="692"/>
      <c r="DP53" s="692"/>
      <c r="DQ53" s="692"/>
      <c r="DR53" s="692"/>
      <c r="DS53" s="692"/>
      <c r="DT53" s="692"/>
      <c r="DU53" s="692"/>
      <c r="DV53" s="692"/>
      <c r="DW53" s="692"/>
      <c r="DX53" s="692"/>
      <c r="DY53" s="692"/>
      <c r="DZ53" s="692"/>
      <c r="EA53" s="692"/>
      <c r="EB53" s="692"/>
      <c r="EC53" s="692"/>
      <c r="ED53" s="692"/>
      <c r="EE53" s="692"/>
      <c r="EF53" s="692"/>
      <c r="EG53" s="692"/>
      <c r="EH53" s="692"/>
      <c r="EI53" s="692"/>
      <c r="EJ53" s="692"/>
      <c r="EK53" s="692"/>
      <c r="EL53" s="692"/>
      <c r="EM53" s="692"/>
      <c r="EN53" s="692"/>
      <c r="EO53" s="692"/>
      <c r="EP53" s="692"/>
      <c r="EQ53" s="692"/>
      <c r="ER53" s="692"/>
      <c r="ES53" s="692"/>
      <c r="ET53" s="692"/>
      <c r="EU53" s="692"/>
      <c r="EV53" s="692"/>
      <c r="EW53" s="692"/>
      <c r="EX53" s="692"/>
      <c r="EY53" s="692"/>
      <c r="EZ53" s="692"/>
      <c r="FA53" s="692"/>
      <c r="FB53" s="692"/>
      <c r="FC53" s="692"/>
      <c r="FD53" s="692"/>
      <c r="FE53" s="692"/>
      <c r="FF53" s="692"/>
      <c r="FG53" s="692"/>
      <c r="FH53" s="692"/>
      <c r="FI53" s="692"/>
      <c r="FJ53" s="692"/>
      <c r="FK53" s="692"/>
      <c r="FL53" s="692"/>
      <c r="FM53" s="692"/>
      <c r="FN53" s="692"/>
      <c r="FO53" s="692"/>
      <c r="FP53" s="692"/>
      <c r="FQ53" s="692"/>
      <c r="FR53" s="692"/>
      <c r="FS53" s="692"/>
      <c r="FT53" s="692"/>
      <c r="FU53" s="692"/>
      <c r="FV53" s="692"/>
      <c r="FW53" s="692"/>
      <c r="FX53" s="692"/>
      <c r="FY53" s="692"/>
      <c r="FZ53" s="692"/>
      <c r="GA53" s="692"/>
      <c r="GB53" s="692"/>
      <c r="GC53" s="692"/>
      <c r="GD53" s="692"/>
      <c r="GE53" s="692"/>
      <c r="GF53" s="692"/>
      <c r="GG53" s="692"/>
      <c r="GH53" s="692"/>
      <c r="GI53" s="692"/>
      <c r="GJ53" s="692"/>
      <c r="GK53" s="692"/>
      <c r="GL53" s="692"/>
      <c r="GM53" s="692"/>
      <c r="GN53" s="692"/>
      <c r="GO53" s="692"/>
      <c r="GP53" s="692"/>
      <c r="GQ53" s="692"/>
      <c r="GR53" s="692"/>
      <c r="GS53" s="692"/>
      <c r="GT53" s="692"/>
      <c r="GU53" s="692"/>
      <c r="GV53" s="692"/>
      <c r="GW53" s="692"/>
      <c r="GX53" s="692"/>
      <c r="GY53" s="692"/>
      <c r="GZ53" s="692"/>
      <c r="HA53" s="692"/>
      <c r="HB53" s="692"/>
      <c r="HC53" s="692"/>
      <c r="HD53" s="692"/>
      <c r="HE53" s="692"/>
      <c r="HF53" s="692"/>
      <c r="HG53" s="692"/>
      <c r="HH53" s="692"/>
      <c r="HI53" s="692"/>
      <c r="HJ53" s="692"/>
      <c r="HK53" s="692"/>
      <c r="HL53" s="692"/>
      <c r="HM53" s="692"/>
      <c r="HN53" s="692"/>
      <c r="HO53" s="692"/>
      <c r="HP53" s="692"/>
      <c r="HQ53" s="692"/>
      <c r="HR53" s="692"/>
      <c r="HS53" s="692"/>
      <c r="HT53" s="692"/>
      <c r="HU53" s="692"/>
      <c r="HV53" s="692"/>
      <c r="HW53" s="692"/>
      <c r="HX53" s="692"/>
      <c r="HY53" s="692"/>
      <c r="HZ53" s="692"/>
      <c r="IA53" s="692"/>
      <c r="IB53" s="692"/>
      <c r="IC53" s="692"/>
      <c r="ID53" s="692"/>
      <c r="IE53" s="692"/>
      <c r="IF53" s="692"/>
      <c r="IG53" s="692"/>
      <c r="IH53" s="692"/>
      <c r="II53" s="692"/>
      <c r="IJ53" s="692"/>
      <c r="IK53" s="692"/>
      <c r="IL53" s="692"/>
      <c r="IM53" s="692"/>
      <c r="IN53" s="692"/>
      <c r="IO53" s="692"/>
      <c r="IP53" s="692"/>
      <c r="IQ53" s="692"/>
      <c r="IR53" s="692"/>
      <c r="IS53" s="692"/>
      <c r="IT53" s="692"/>
    </row>
    <row r="54" spans="1:254" s="723" customFormat="1">
      <c r="W54" s="692"/>
      <c r="X54" s="692"/>
      <c r="Y54" s="692"/>
      <c r="Z54" s="692"/>
      <c r="AA54" s="692"/>
      <c r="AB54" s="692"/>
      <c r="AC54" s="692"/>
      <c r="AD54" s="692"/>
      <c r="AE54" s="692"/>
      <c r="AF54" s="692"/>
      <c r="AG54" s="692"/>
      <c r="AH54" s="692"/>
      <c r="AI54" s="692"/>
      <c r="AJ54" s="692"/>
      <c r="AK54" s="692"/>
      <c r="AL54" s="692"/>
      <c r="AM54" s="692"/>
      <c r="AN54" s="692"/>
      <c r="AO54" s="692"/>
      <c r="AP54" s="692"/>
      <c r="AQ54" s="692"/>
      <c r="AR54" s="692"/>
      <c r="AS54" s="692"/>
      <c r="AT54" s="692"/>
      <c r="AU54" s="692"/>
      <c r="AV54" s="692"/>
      <c r="AW54" s="692"/>
      <c r="AX54" s="692"/>
      <c r="AY54" s="692"/>
      <c r="AZ54" s="692"/>
      <c r="BA54" s="692"/>
      <c r="BB54" s="692"/>
      <c r="BC54" s="692"/>
      <c r="BD54" s="692"/>
      <c r="BE54" s="692"/>
      <c r="BF54" s="692"/>
      <c r="BG54" s="692"/>
      <c r="BH54" s="692"/>
      <c r="BI54" s="692"/>
      <c r="BJ54" s="692"/>
      <c r="BK54" s="692"/>
      <c r="BL54" s="692"/>
      <c r="BM54" s="692"/>
      <c r="BN54" s="692"/>
      <c r="BO54" s="692"/>
      <c r="BP54" s="692"/>
      <c r="BQ54" s="692"/>
      <c r="BR54" s="692"/>
      <c r="BS54" s="692"/>
      <c r="BT54" s="692"/>
      <c r="BU54" s="692"/>
      <c r="BV54" s="692"/>
      <c r="BW54" s="692"/>
      <c r="BX54" s="692"/>
      <c r="BY54" s="692"/>
      <c r="BZ54" s="692"/>
      <c r="CA54" s="692"/>
      <c r="CB54" s="692"/>
      <c r="CC54" s="692"/>
      <c r="CD54" s="692"/>
      <c r="CE54" s="692"/>
      <c r="CF54" s="692"/>
      <c r="CG54" s="692"/>
      <c r="CH54" s="692"/>
      <c r="CI54" s="692"/>
      <c r="CJ54" s="692"/>
      <c r="CK54" s="692"/>
      <c r="CL54" s="692"/>
      <c r="CM54" s="692"/>
      <c r="CN54" s="692"/>
      <c r="CO54" s="692"/>
      <c r="CP54" s="692"/>
      <c r="CQ54" s="692"/>
      <c r="CR54" s="692"/>
      <c r="CS54" s="692"/>
      <c r="CT54" s="692"/>
      <c r="CU54" s="692"/>
      <c r="CV54" s="692"/>
      <c r="CW54" s="692"/>
      <c r="CX54" s="692"/>
      <c r="CY54" s="692"/>
      <c r="CZ54" s="692"/>
      <c r="DA54" s="692"/>
      <c r="DB54" s="692"/>
      <c r="DC54" s="692"/>
      <c r="DD54" s="692"/>
      <c r="DE54" s="692"/>
      <c r="DF54" s="692"/>
      <c r="DG54" s="692"/>
      <c r="DH54" s="692"/>
      <c r="DI54" s="692"/>
      <c r="DJ54" s="692"/>
      <c r="DK54" s="692"/>
      <c r="DL54" s="692"/>
      <c r="DM54" s="692"/>
      <c r="DN54" s="692"/>
      <c r="DO54" s="692"/>
      <c r="DP54" s="692"/>
      <c r="DQ54" s="692"/>
      <c r="DR54" s="692"/>
      <c r="DS54" s="692"/>
      <c r="DT54" s="692"/>
      <c r="DU54" s="692"/>
      <c r="DV54" s="692"/>
      <c r="DW54" s="692"/>
      <c r="DX54" s="692"/>
      <c r="DY54" s="692"/>
      <c r="DZ54" s="692"/>
      <c r="EA54" s="692"/>
      <c r="EB54" s="692"/>
      <c r="EC54" s="692"/>
      <c r="ED54" s="692"/>
      <c r="EE54" s="692"/>
      <c r="EF54" s="692"/>
      <c r="EG54" s="692"/>
      <c r="EH54" s="692"/>
      <c r="EI54" s="692"/>
      <c r="EJ54" s="692"/>
      <c r="EK54" s="692"/>
      <c r="EL54" s="692"/>
      <c r="EM54" s="692"/>
      <c r="EN54" s="692"/>
      <c r="EO54" s="692"/>
      <c r="EP54" s="692"/>
      <c r="EQ54" s="692"/>
      <c r="ER54" s="692"/>
      <c r="ES54" s="692"/>
      <c r="ET54" s="692"/>
      <c r="EU54" s="692"/>
      <c r="EV54" s="692"/>
      <c r="EW54" s="692"/>
      <c r="EX54" s="692"/>
      <c r="EY54" s="692"/>
      <c r="EZ54" s="692"/>
      <c r="FA54" s="692"/>
      <c r="FB54" s="692"/>
      <c r="FC54" s="692"/>
      <c r="FD54" s="692"/>
      <c r="FE54" s="692"/>
      <c r="FF54" s="692"/>
      <c r="FG54" s="692"/>
      <c r="FH54" s="692"/>
      <c r="FI54" s="692"/>
      <c r="FJ54" s="692"/>
      <c r="FK54" s="692"/>
      <c r="FL54" s="692"/>
      <c r="FM54" s="692"/>
      <c r="FN54" s="692"/>
      <c r="FO54" s="692"/>
      <c r="FP54" s="692"/>
      <c r="FQ54" s="692"/>
      <c r="FR54" s="692"/>
      <c r="FS54" s="692"/>
      <c r="FT54" s="692"/>
      <c r="FU54" s="692"/>
      <c r="FV54" s="692"/>
      <c r="FW54" s="692"/>
      <c r="FX54" s="692"/>
      <c r="FY54" s="692"/>
      <c r="FZ54" s="692"/>
      <c r="GA54" s="692"/>
      <c r="GB54" s="692"/>
      <c r="GC54" s="692"/>
      <c r="GD54" s="692"/>
      <c r="GE54" s="692"/>
      <c r="GF54" s="692"/>
      <c r="GG54" s="692"/>
      <c r="GH54" s="692"/>
      <c r="GI54" s="692"/>
      <c r="GJ54" s="692"/>
      <c r="GK54" s="692"/>
      <c r="GL54" s="692"/>
      <c r="GM54" s="692"/>
      <c r="GN54" s="692"/>
      <c r="GO54" s="692"/>
      <c r="GP54" s="692"/>
      <c r="GQ54" s="692"/>
      <c r="GR54" s="692"/>
      <c r="GS54" s="692"/>
      <c r="GT54" s="692"/>
      <c r="GU54" s="692"/>
      <c r="GV54" s="692"/>
      <c r="GW54" s="692"/>
      <c r="GX54" s="692"/>
      <c r="GY54" s="692"/>
      <c r="GZ54" s="692"/>
      <c r="HA54" s="692"/>
      <c r="HB54" s="692"/>
      <c r="HC54" s="692"/>
      <c r="HD54" s="692"/>
      <c r="HE54" s="692"/>
      <c r="HF54" s="692"/>
      <c r="HG54" s="692"/>
      <c r="HH54" s="692"/>
      <c r="HI54" s="692"/>
      <c r="HJ54" s="692"/>
      <c r="HK54" s="692"/>
      <c r="HL54" s="692"/>
      <c r="HM54" s="692"/>
      <c r="HN54" s="692"/>
      <c r="HO54" s="692"/>
      <c r="HP54" s="692"/>
      <c r="HQ54" s="692"/>
      <c r="HR54" s="692"/>
      <c r="HS54" s="692"/>
      <c r="HT54" s="692"/>
      <c r="HU54" s="692"/>
      <c r="HV54" s="692"/>
      <c r="HW54" s="692"/>
      <c r="HX54" s="692"/>
      <c r="HY54" s="692"/>
      <c r="HZ54" s="692"/>
      <c r="IA54" s="692"/>
      <c r="IB54" s="692"/>
      <c r="IC54" s="692"/>
      <c r="ID54" s="692"/>
      <c r="IE54" s="692"/>
      <c r="IF54" s="692"/>
      <c r="IG54" s="692"/>
      <c r="IH54" s="692"/>
      <c r="II54" s="692"/>
      <c r="IJ54" s="692"/>
      <c r="IK54" s="692"/>
      <c r="IL54" s="692"/>
      <c r="IM54" s="692"/>
      <c r="IN54" s="692"/>
      <c r="IO54" s="692"/>
      <c r="IP54" s="692"/>
      <c r="IQ54" s="692"/>
      <c r="IR54" s="692"/>
      <c r="IS54" s="692"/>
      <c r="IT54" s="692"/>
    </row>
    <row r="55" spans="1:254" s="723" customFormat="1">
      <c r="W55" s="692"/>
      <c r="X55" s="692"/>
      <c r="Y55" s="692"/>
      <c r="Z55" s="692"/>
      <c r="AA55" s="692"/>
      <c r="AB55" s="692"/>
      <c r="AC55" s="692"/>
      <c r="AD55" s="692"/>
      <c r="AE55" s="692"/>
      <c r="AF55" s="692"/>
      <c r="AG55" s="692"/>
      <c r="AH55" s="692"/>
      <c r="AI55" s="692"/>
      <c r="AJ55" s="692"/>
      <c r="AK55" s="692"/>
      <c r="AL55" s="692"/>
      <c r="AM55" s="692"/>
      <c r="AN55" s="692"/>
      <c r="AO55" s="692"/>
      <c r="AP55" s="692"/>
      <c r="AQ55" s="692"/>
      <c r="AR55" s="692"/>
      <c r="AS55" s="692"/>
      <c r="AT55" s="692"/>
      <c r="AU55" s="692"/>
      <c r="AV55" s="692"/>
      <c r="AW55" s="692"/>
      <c r="AX55" s="692"/>
      <c r="AY55" s="692"/>
      <c r="AZ55" s="692"/>
      <c r="BA55" s="692"/>
      <c r="BB55" s="692"/>
      <c r="BC55" s="692"/>
      <c r="BD55" s="692"/>
      <c r="BE55" s="692"/>
      <c r="BF55" s="692"/>
      <c r="BG55" s="692"/>
      <c r="BH55" s="692"/>
      <c r="BI55" s="692"/>
      <c r="BJ55" s="692"/>
      <c r="BK55" s="692"/>
      <c r="BL55" s="692"/>
      <c r="BM55" s="692"/>
      <c r="BN55" s="692"/>
      <c r="BO55" s="692"/>
      <c r="BP55" s="692"/>
      <c r="BQ55" s="692"/>
      <c r="BR55" s="692"/>
      <c r="BS55" s="692"/>
      <c r="BT55" s="692"/>
      <c r="BU55" s="692"/>
      <c r="BV55" s="692"/>
      <c r="BW55" s="692"/>
      <c r="BX55" s="692"/>
      <c r="BY55" s="692"/>
      <c r="BZ55" s="692"/>
      <c r="CA55" s="692"/>
      <c r="CB55" s="692"/>
      <c r="CC55" s="692"/>
      <c r="CD55" s="692"/>
      <c r="CE55" s="692"/>
      <c r="CF55" s="692"/>
      <c r="CG55" s="692"/>
      <c r="CH55" s="692"/>
      <c r="CI55" s="692"/>
      <c r="CJ55" s="692"/>
      <c r="CK55" s="692"/>
      <c r="CL55" s="692"/>
      <c r="CM55" s="692"/>
      <c r="CN55" s="692"/>
      <c r="CO55" s="692"/>
      <c r="CP55" s="692"/>
      <c r="CQ55" s="692"/>
      <c r="CR55" s="692"/>
      <c r="CS55" s="692"/>
      <c r="CT55" s="692"/>
      <c r="CU55" s="692"/>
      <c r="CV55" s="692"/>
      <c r="CW55" s="692"/>
      <c r="CX55" s="692"/>
      <c r="CY55" s="692"/>
      <c r="CZ55" s="692"/>
      <c r="DA55" s="692"/>
      <c r="DB55" s="692"/>
      <c r="DC55" s="692"/>
      <c r="DD55" s="692"/>
      <c r="DE55" s="692"/>
      <c r="DF55" s="692"/>
      <c r="DG55" s="692"/>
      <c r="DH55" s="692"/>
      <c r="DI55" s="692"/>
      <c r="DJ55" s="692"/>
      <c r="DK55" s="692"/>
      <c r="DL55" s="692"/>
      <c r="DM55" s="692"/>
      <c r="DN55" s="692"/>
      <c r="DO55" s="692"/>
      <c r="DP55" s="692"/>
      <c r="DQ55" s="692"/>
      <c r="DR55" s="692"/>
      <c r="DS55" s="692"/>
      <c r="DT55" s="692"/>
      <c r="DU55" s="692"/>
      <c r="DV55" s="692"/>
      <c r="DW55" s="692"/>
      <c r="DX55" s="692"/>
      <c r="DY55" s="692"/>
      <c r="DZ55" s="692"/>
      <c r="EA55" s="692"/>
      <c r="EB55" s="692"/>
      <c r="EC55" s="692"/>
      <c r="ED55" s="692"/>
      <c r="EE55" s="692"/>
      <c r="EF55" s="692"/>
      <c r="EG55" s="692"/>
      <c r="EH55" s="692"/>
      <c r="EI55" s="692"/>
      <c r="EJ55" s="692"/>
      <c r="EK55" s="692"/>
      <c r="EL55" s="692"/>
      <c r="EM55" s="692"/>
      <c r="EN55" s="692"/>
      <c r="EO55" s="692"/>
      <c r="EP55" s="692"/>
      <c r="EQ55" s="692"/>
      <c r="ER55" s="692"/>
      <c r="ES55" s="692"/>
      <c r="ET55" s="692"/>
      <c r="EU55" s="692"/>
      <c r="EV55" s="692"/>
      <c r="EW55" s="692"/>
      <c r="EX55" s="692"/>
      <c r="EY55" s="692"/>
      <c r="EZ55" s="692"/>
      <c r="FA55" s="692"/>
      <c r="FB55" s="692"/>
      <c r="FC55" s="692"/>
      <c r="FD55" s="692"/>
      <c r="FE55" s="692"/>
      <c r="FF55" s="692"/>
      <c r="FG55" s="692"/>
      <c r="FH55" s="692"/>
      <c r="FI55" s="692"/>
      <c r="FJ55" s="692"/>
      <c r="FK55" s="692"/>
      <c r="FL55" s="692"/>
      <c r="FM55" s="692"/>
      <c r="FN55" s="692"/>
      <c r="FO55" s="692"/>
      <c r="FP55" s="692"/>
      <c r="FQ55" s="692"/>
      <c r="FR55" s="692"/>
      <c r="FS55" s="692"/>
      <c r="FT55" s="692"/>
      <c r="FU55" s="692"/>
      <c r="FV55" s="692"/>
      <c r="FW55" s="692"/>
      <c r="FX55" s="692"/>
      <c r="FY55" s="692"/>
      <c r="FZ55" s="692"/>
      <c r="GA55" s="692"/>
      <c r="GB55" s="692"/>
      <c r="GC55" s="692"/>
      <c r="GD55" s="692"/>
      <c r="GE55" s="692"/>
      <c r="GF55" s="692"/>
      <c r="GG55" s="692"/>
      <c r="GH55" s="692"/>
      <c r="GI55" s="692"/>
      <c r="GJ55" s="692"/>
      <c r="GK55" s="692"/>
      <c r="GL55" s="692"/>
      <c r="GM55" s="692"/>
      <c r="GN55" s="692"/>
      <c r="GO55" s="692"/>
      <c r="GP55" s="692"/>
      <c r="GQ55" s="692"/>
      <c r="GR55" s="692"/>
      <c r="GS55" s="692"/>
      <c r="GT55" s="692"/>
      <c r="GU55" s="692"/>
      <c r="GV55" s="692"/>
      <c r="GW55" s="692"/>
      <c r="GX55" s="692"/>
      <c r="GY55" s="692"/>
      <c r="GZ55" s="692"/>
      <c r="HA55" s="692"/>
      <c r="HB55" s="692"/>
      <c r="HC55" s="692"/>
      <c r="HD55" s="692"/>
      <c r="HE55" s="692"/>
      <c r="HF55" s="692"/>
      <c r="HG55" s="692"/>
      <c r="HH55" s="692"/>
      <c r="HI55" s="692"/>
      <c r="HJ55" s="692"/>
      <c r="HK55" s="692"/>
      <c r="HL55" s="692"/>
      <c r="HM55" s="692"/>
      <c r="HN55" s="692"/>
      <c r="HO55" s="692"/>
      <c r="HP55" s="692"/>
      <c r="HQ55" s="692"/>
      <c r="HR55" s="692"/>
      <c r="HS55" s="692"/>
      <c r="HT55" s="692"/>
      <c r="HU55" s="692"/>
      <c r="HV55" s="692"/>
      <c r="HW55" s="692"/>
      <c r="HX55" s="692"/>
      <c r="HY55" s="692"/>
      <c r="HZ55" s="692"/>
      <c r="IA55" s="692"/>
      <c r="IB55" s="692"/>
      <c r="IC55" s="692"/>
      <c r="ID55" s="692"/>
      <c r="IE55" s="692"/>
      <c r="IF55" s="692"/>
      <c r="IG55" s="692"/>
      <c r="IH55" s="692"/>
      <c r="II55" s="692"/>
      <c r="IJ55" s="692"/>
      <c r="IK55" s="692"/>
      <c r="IL55" s="692"/>
      <c r="IM55" s="692"/>
      <c r="IN55" s="692"/>
      <c r="IO55" s="692"/>
      <c r="IP55" s="692"/>
      <c r="IQ55" s="692"/>
      <c r="IR55" s="692"/>
      <c r="IS55" s="692"/>
      <c r="IT55" s="692"/>
    </row>
    <row r="56" spans="1:254" s="723" customFormat="1">
      <c r="W56" s="692"/>
      <c r="X56" s="692"/>
      <c r="Y56" s="692"/>
      <c r="Z56" s="692"/>
      <c r="AA56" s="692"/>
      <c r="AB56" s="692"/>
      <c r="AC56" s="692"/>
      <c r="AD56" s="692"/>
      <c r="AE56" s="692"/>
      <c r="AF56" s="692"/>
      <c r="AG56" s="692"/>
      <c r="AH56" s="692"/>
      <c r="AI56" s="692"/>
      <c r="AJ56" s="692"/>
      <c r="AK56" s="692"/>
      <c r="AL56" s="692"/>
      <c r="AM56" s="692"/>
      <c r="AN56" s="692"/>
      <c r="AO56" s="692"/>
      <c r="AP56" s="692"/>
      <c r="AQ56" s="692"/>
      <c r="AR56" s="692"/>
      <c r="AS56" s="692"/>
      <c r="AT56" s="692"/>
      <c r="AU56" s="692"/>
      <c r="AV56" s="692"/>
      <c r="AW56" s="692"/>
      <c r="AX56" s="692"/>
      <c r="AY56" s="692"/>
      <c r="AZ56" s="692"/>
      <c r="BA56" s="692"/>
      <c r="BB56" s="692"/>
      <c r="BC56" s="692"/>
      <c r="BD56" s="692"/>
      <c r="BE56" s="692"/>
      <c r="BF56" s="692"/>
      <c r="BG56" s="692"/>
      <c r="BH56" s="692"/>
      <c r="BI56" s="692"/>
      <c r="BJ56" s="692"/>
      <c r="BK56" s="692"/>
      <c r="BL56" s="692"/>
      <c r="BM56" s="692"/>
      <c r="BN56" s="692"/>
      <c r="BO56" s="692"/>
      <c r="BP56" s="692"/>
      <c r="BQ56" s="692"/>
      <c r="BR56" s="692"/>
      <c r="BS56" s="692"/>
      <c r="BT56" s="692"/>
      <c r="BU56" s="692"/>
      <c r="BV56" s="692"/>
      <c r="BW56" s="692"/>
      <c r="BX56" s="692"/>
      <c r="BY56" s="692"/>
      <c r="BZ56" s="692"/>
      <c r="CA56" s="692"/>
      <c r="CB56" s="692"/>
      <c r="CC56" s="692"/>
      <c r="CD56" s="692"/>
      <c r="CE56" s="692"/>
      <c r="CF56" s="692"/>
      <c r="CG56" s="692"/>
      <c r="CH56" s="692"/>
      <c r="CI56" s="692"/>
      <c r="CJ56" s="692"/>
      <c r="CK56" s="692"/>
      <c r="CL56" s="692"/>
      <c r="CM56" s="692"/>
      <c r="CN56" s="692"/>
      <c r="CO56" s="692"/>
      <c r="CP56" s="692"/>
      <c r="CQ56" s="692"/>
      <c r="CR56" s="692"/>
      <c r="CS56" s="692"/>
      <c r="CT56" s="692"/>
      <c r="CU56" s="692"/>
      <c r="CV56" s="692"/>
      <c r="CW56" s="692"/>
      <c r="CX56" s="692"/>
      <c r="CY56" s="692"/>
      <c r="CZ56" s="692"/>
      <c r="DA56" s="692"/>
      <c r="DB56" s="692"/>
      <c r="DC56" s="692"/>
      <c r="DD56" s="692"/>
      <c r="DE56" s="692"/>
      <c r="DF56" s="692"/>
      <c r="DG56" s="692"/>
      <c r="DH56" s="692"/>
      <c r="DI56" s="692"/>
      <c r="DJ56" s="692"/>
      <c r="DK56" s="692"/>
      <c r="DL56" s="692"/>
      <c r="DM56" s="692"/>
      <c r="DN56" s="692"/>
      <c r="DO56" s="692"/>
      <c r="DP56" s="692"/>
      <c r="DQ56" s="692"/>
      <c r="DR56" s="692"/>
      <c r="DS56" s="692"/>
      <c r="DT56" s="692"/>
      <c r="DU56" s="692"/>
      <c r="DV56" s="692"/>
      <c r="DW56" s="692"/>
      <c r="DX56" s="692"/>
      <c r="DY56" s="692"/>
      <c r="DZ56" s="692"/>
      <c r="EA56" s="692"/>
      <c r="EB56" s="692"/>
      <c r="EC56" s="692"/>
      <c r="ED56" s="692"/>
      <c r="EE56" s="692"/>
      <c r="EF56" s="692"/>
      <c r="EG56" s="692"/>
      <c r="EH56" s="692"/>
      <c r="EI56" s="692"/>
      <c r="EJ56" s="692"/>
      <c r="EK56" s="692"/>
      <c r="EL56" s="692"/>
      <c r="EM56" s="692"/>
      <c r="EN56" s="692"/>
      <c r="EO56" s="692"/>
      <c r="EP56" s="692"/>
      <c r="EQ56" s="692"/>
      <c r="ER56" s="692"/>
      <c r="ES56" s="692"/>
      <c r="ET56" s="692"/>
      <c r="EU56" s="692"/>
      <c r="EV56" s="692"/>
      <c r="EW56" s="692"/>
      <c r="EX56" s="692"/>
      <c r="EY56" s="692"/>
      <c r="EZ56" s="692"/>
      <c r="FA56" s="692"/>
      <c r="FB56" s="692"/>
      <c r="FC56" s="692"/>
      <c r="FD56" s="692"/>
      <c r="FE56" s="692"/>
      <c r="FF56" s="692"/>
      <c r="FG56" s="692"/>
      <c r="FH56" s="692"/>
      <c r="FI56" s="692"/>
      <c r="FJ56" s="692"/>
      <c r="FK56" s="692"/>
      <c r="FL56" s="692"/>
      <c r="FM56" s="692"/>
      <c r="FN56" s="692"/>
      <c r="FO56" s="692"/>
      <c r="FP56" s="692"/>
      <c r="FQ56" s="692"/>
      <c r="FR56" s="692"/>
      <c r="FS56" s="692"/>
      <c r="FT56" s="692"/>
      <c r="FU56" s="692"/>
      <c r="FV56" s="692"/>
      <c r="FW56" s="692"/>
      <c r="FX56" s="692"/>
      <c r="FY56" s="692"/>
      <c r="FZ56" s="692"/>
      <c r="GA56" s="692"/>
      <c r="GB56" s="692"/>
      <c r="GC56" s="692"/>
      <c r="GD56" s="692"/>
      <c r="GE56" s="692"/>
      <c r="GF56" s="692"/>
      <c r="GG56" s="692"/>
      <c r="GH56" s="692"/>
      <c r="GI56" s="692"/>
      <c r="GJ56" s="692"/>
      <c r="GK56" s="692"/>
      <c r="GL56" s="692"/>
      <c r="GM56" s="692"/>
      <c r="GN56" s="692"/>
      <c r="GO56" s="692"/>
      <c r="GP56" s="692"/>
      <c r="GQ56" s="692"/>
      <c r="GR56" s="692"/>
      <c r="GS56" s="692"/>
      <c r="GT56" s="692"/>
      <c r="GU56" s="692"/>
      <c r="GV56" s="692"/>
      <c r="GW56" s="692"/>
      <c r="GX56" s="692"/>
      <c r="GY56" s="692"/>
      <c r="GZ56" s="692"/>
      <c r="HA56" s="692"/>
      <c r="HB56" s="692"/>
      <c r="HC56" s="692"/>
      <c r="HD56" s="692"/>
      <c r="HE56" s="692"/>
      <c r="HF56" s="692"/>
      <c r="HG56" s="692"/>
      <c r="HH56" s="692"/>
      <c r="HI56" s="692"/>
      <c r="HJ56" s="692"/>
      <c r="HK56" s="692"/>
      <c r="HL56" s="692"/>
      <c r="HM56" s="692"/>
      <c r="HN56" s="692"/>
      <c r="HO56" s="692"/>
      <c r="HP56" s="692"/>
      <c r="HQ56" s="692"/>
      <c r="HR56" s="692"/>
      <c r="HS56" s="692"/>
      <c r="HT56" s="692"/>
      <c r="HU56" s="692"/>
      <c r="HV56" s="692"/>
      <c r="HW56" s="692"/>
      <c r="HX56" s="692"/>
      <c r="HY56" s="692"/>
      <c r="HZ56" s="692"/>
      <c r="IA56" s="692"/>
      <c r="IB56" s="692"/>
      <c r="IC56" s="692"/>
      <c r="ID56" s="692"/>
      <c r="IE56" s="692"/>
      <c r="IF56" s="692"/>
      <c r="IG56" s="692"/>
      <c r="IH56" s="692"/>
      <c r="II56" s="692"/>
      <c r="IJ56" s="692"/>
      <c r="IK56" s="692"/>
      <c r="IL56" s="692"/>
      <c r="IM56" s="692"/>
      <c r="IN56" s="692"/>
      <c r="IO56" s="692"/>
      <c r="IP56" s="692"/>
      <c r="IQ56" s="692"/>
      <c r="IR56" s="692"/>
      <c r="IS56" s="692"/>
      <c r="IT56" s="692"/>
    </row>
    <row r="57" spans="1:254" s="723" customFormat="1">
      <c r="W57" s="692"/>
      <c r="X57" s="692"/>
      <c r="Y57" s="692"/>
      <c r="Z57" s="692"/>
      <c r="AA57" s="692"/>
      <c r="AB57" s="692"/>
      <c r="AC57" s="692"/>
      <c r="AD57" s="692"/>
      <c r="AE57" s="692"/>
      <c r="AF57" s="692"/>
      <c r="AG57" s="692"/>
      <c r="AH57" s="692"/>
      <c r="AI57" s="692"/>
      <c r="AJ57" s="692"/>
      <c r="AK57" s="692"/>
      <c r="AL57" s="692"/>
      <c r="AM57" s="692"/>
      <c r="AN57" s="692"/>
      <c r="AO57" s="692"/>
      <c r="AP57" s="692"/>
      <c r="AQ57" s="692"/>
      <c r="AR57" s="692"/>
      <c r="AS57" s="692"/>
      <c r="AT57" s="692"/>
      <c r="AU57" s="692"/>
      <c r="AV57" s="692"/>
      <c r="AW57" s="692"/>
      <c r="AX57" s="692"/>
      <c r="AY57" s="692"/>
      <c r="AZ57" s="692"/>
      <c r="BA57" s="692"/>
      <c r="BB57" s="692"/>
      <c r="BC57" s="692"/>
      <c r="BD57" s="692"/>
      <c r="BE57" s="692"/>
      <c r="BF57" s="692"/>
      <c r="BG57" s="692"/>
      <c r="BH57" s="692"/>
      <c r="BI57" s="692"/>
      <c r="BJ57" s="692"/>
      <c r="BK57" s="692"/>
      <c r="BL57" s="692"/>
      <c r="BM57" s="692"/>
      <c r="BN57" s="692"/>
      <c r="BO57" s="692"/>
      <c r="BP57" s="692"/>
      <c r="BQ57" s="692"/>
      <c r="BR57" s="692"/>
      <c r="BS57" s="692"/>
      <c r="BT57" s="692"/>
      <c r="BU57" s="692"/>
      <c r="BV57" s="692"/>
      <c r="BW57" s="692"/>
      <c r="BX57" s="692"/>
      <c r="BY57" s="692"/>
      <c r="BZ57" s="692"/>
      <c r="CA57" s="692"/>
      <c r="CB57" s="692"/>
      <c r="CC57" s="692"/>
      <c r="CD57" s="692"/>
      <c r="CE57" s="692"/>
      <c r="CF57" s="692"/>
      <c r="CG57" s="692"/>
      <c r="CH57" s="692"/>
      <c r="CI57" s="692"/>
      <c r="CJ57" s="692"/>
      <c r="CK57" s="692"/>
      <c r="CL57" s="692"/>
      <c r="CM57" s="692"/>
      <c r="CN57" s="692"/>
      <c r="CO57" s="692"/>
      <c r="CP57" s="692"/>
      <c r="CQ57" s="692"/>
      <c r="CR57" s="692"/>
      <c r="CS57" s="692"/>
      <c r="CT57" s="692"/>
      <c r="CU57" s="692"/>
      <c r="CV57" s="692"/>
      <c r="CW57" s="692"/>
      <c r="CX57" s="692"/>
      <c r="CY57" s="692"/>
      <c r="CZ57" s="692"/>
      <c r="DA57" s="692"/>
      <c r="DB57" s="692"/>
      <c r="DC57" s="692"/>
      <c r="DD57" s="692"/>
      <c r="DE57" s="692"/>
      <c r="DF57" s="692"/>
      <c r="DG57" s="692"/>
      <c r="DH57" s="692"/>
      <c r="DI57" s="692"/>
      <c r="DJ57" s="692"/>
      <c r="DK57" s="692"/>
      <c r="DL57" s="692"/>
      <c r="DM57" s="692"/>
      <c r="DN57" s="692"/>
      <c r="DO57" s="692"/>
      <c r="DP57" s="692"/>
      <c r="DQ57" s="692"/>
      <c r="DR57" s="692"/>
      <c r="DS57" s="692"/>
      <c r="DT57" s="692"/>
      <c r="DU57" s="692"/>
      <c r="DV57" s="692"/>
      <c r="DW57" s="692"/>
      <c r="DX57" s="692"/>
      <c r="DY57" s="692"/>
      <c r="DZ57" s="692"/>
      <c r="EA57" s="692"/>
      <c r="EB57" s="692"/>
      <c r="EC57" s="692"/>
      <c r="ED57" s="692"/>
      <c r="EE57" s="692"/>
      <c r="EF57" s="692"/>
      <c r="EG57" s="692"/>
      <c r="EH57" s="692"/>
      <c r="EI57" s="692"/>
      <c r="EJ57" s="692"/>
      <c r="EK57" s="692"/>
      <c r="EL57" s="692"/>
      <c r="EM57" s="692"/>
      <c r="EN57" s="692"/>
      <c r="EO57" s="692"/>
      <c r="EP57" s="692"/>
      <c r="EQ57" s="692"/>
      <c r="ER57" s="692"/>
      <c r="ES57" s="692"/>
      <c r="ET57" s="692"/>
      <c r="EU57" s="692"/>
      <c r="EV57" s="692"/>
      <c r="EW57" s="692"/>
      <c r="EX57" s="692"/>
      <c r="EY57" s="692"/>
      <c r="EZ57" s="692"/>
      <c r="FA57" s="692"/>
      <c r="FB57" s="692"/>
      <c r="FC57" s="692"/>
      <c r="FD57" s="692"/>
      <c r="FE57" s="692"/>
      <c r="FF57" s="692"/>
      <c r="FG57" s="692"/>
      <c r="FH57" s="692"/>
      <c r="FI57" s="692"/>
      <c r="FJ57" s="692"/>
      <c r="FK57" s="692"/>
      <c r="FL57" s="692"/>
      <c r="FM57" s="692"/>
      <c r="FN57" s="692"/>
      <c r="FO57" s="692"/>
      <c r="FP57" s="692"/>
      <c r="FQ57" s="692"/>
      <c r="FR57" s="692"/>
      <c r="FS57" s="692"/>
      <c r="FT57" s="692"/>
      <c r="FU57" s="692"/>
      <c r="FV57" s="692"/>
      <c r="FW57" s="692"/>
      <c r="FX57" s="692"/>
      <c r="FY57" s="692"/>
      <c r="FZ57" s="692"/>
      <c r="GA57" s="692"/>
      <c r="GB57" s="692"/>
      <c r="GC57" s="692"/>
      <c r="GD57" s="692"/>
      <c r="GE57" s="692"/>
      <c r="GF57" s="692"/>
      <c r="GG57" s="692"/>
      <c r="GH57" s="692"/>
      <c r="GI57" s="692"/>
      <c r="GJ57" s="692"/>
      <c r="GK57" s="692"/>
      <c r="GL57" s="692"/>
      <c r="GM57" s="692"/>
      <c r="GN57" s="692"/>
      <c r="GO57" s="692"/>
      <c r="GP57" s="692"/>
      <c r="GQ57" s="692"/>
      <c r="GR57" s="692"/>
      <c r="GS57" s="692"/>
      <c r="GT57" s="692"/>
      <c r="GU57" s="692"/>
      <c r="GV57" s="692"/>
      <c r="GW57" s="692"/>
      <c r="GX57" s="692"/>
      <c r="GY57" s="692"/>
      <c r="GZ57" s="692"/>
      <c r="HA57" s="692"/>
      <c r="HB57" s="692"/>
      <c r="HC57" s="692"/>
      <c r="HD57" s="692"/>
      <c r="HE57" s="692"/>
      <c r="HF57" s="692"/>
      <c r="HG57" s="692"/>
      <c r="HH57" s="692"/>
      <c r="HI57" s="692"/>
      <c r="HJ57" s="692"/>
      <c r="HK57" s="692"/>
      <c r="HL57" s="692"/>
      <c r="HM57" s="692"/>
      <c r="HN57" s="692"/>
      <c r="HO57" s="692"/>
      <c r="HP57" s="692"/>
      <c r="HQ57" s="692"/>
      <c r="HR57" s="692"/>
      <c r="HS57" s="692"/>
      <c r="HT57" s="692"/>
      <c r="HU57" s="692"/>
      <c r="HV57" s="692"/>
      <c r="HW57" s="692"/>
      <c r="HX57" s="692"/>
      <c r="HY57" s="692"/>
      <c r="HZ57" s="692"/>
      <c r="IA57" s="692"/>
      <c r="IB57" s="692"/>
      <c r="IC57" s="692"/>
      <c r="ID57" s="692"/>
      <c r="IE57" s="692"/>
      <c r="IF57" s="692"/>
      <c r="IG57" s="692"/>
      <c r="IH57" s="692"/>
      <c r="II57" s="692"/>
      <c r="IJ57" s="692"/>
      <c r="IK57" s="692"/>
      <c r="IL57" s="692"/>
      <c r="IM57" s="692"/>
      <c r="IN57" s="692"/>
      <c r="IO57" s="692"/>
      <c r="IP57" s="692"/>
      <c r="IQ57" s="692"/>
      <c r="IR57" s="692"/>
      <c r="IS57" s="692"/>
      <c r="IT57" s="692"/>
    </row>
    <row r="58" spans="1:254" s="723" customFormat="1">
      <c r="W58" s="692"/>
      <c r="X58" s="692"/>
      <c r="Y58" s="692"/>
      <c r="Z58" s="692"/>
      <c r="AA58" s="692"/>
      <c r="AB58" s="692"/>
      <c r="AC58" s="692"/>
      <c r="AD58" s="692"/>
      <c r="AE58" s="692"/>
      <c r="AF58" s="692"/>
      <c r="AG58" s="692"/>
      <c r="AH58" s="692"/>
      <c r="AI58" s="692"/>
      <c r="AJ58" s="692"/>
      <c r="AK58" s="692"/>
      <c r="AL58" s="692"/>
      <c r="AM58" s="692"/>
      <c r="AN58" s="692"/>
      <c r="AO58" s="692"/>
      <c r="AP58" s="692"/>
      <c r="AQ58" s="692"/>
      <c r="AR58" s="692"/>
      <c r="AS58" s="692"/>
      <c r="AT58" s="692"/>
      <c r="AU58" s="692"/>
      <c r="AV58" s="692"/>
      <c r="AW58" s="692"/>
      <c r="AX58" s="692"/>
      <c r="AY58" s="692"/>
      <c r="AZ58" s="692"/>
      <c r="BA58" s="692"/>
      <c r="BB58" s="692"/>
      <c r="BC58" s="692"/>
      <c r="BD58" s="692"/>
      <c r="BE58" s="692"/>
      <c r="BF58" s="692"/>
      <c r="BG58" s="692"/>
      <c r="BH58" s="692"/>
      <c r="BI58" s="692"/>
      <c r="BJ58" s="692"/>
      <c r="BK58" s="692"/>
      <c r="BL58" s="692"/>
      <c r="BM58" s="692"/>
      <c r="BN58" s="692"/>
      <c r="BO58" s="692"/>
      <c r="BP58" s="692"/>
      <c r="BQ58" s="692"/>
      <c r="BR58" s="692"/>
      <c r="BS58" s="692"/>
      <c r="BT58" s="692"/>
      <c r="BU58" s="692"/>
      <c r="BV58" s="692"/>
      <c r="BW58" s="692"/>
      <c r="BX58" s="692"/>
      <c r="BY58" s="692"/>
      <c r="BZ58" s="692"/>
      <c r="CA58" s="692"/>
      <c r="CB58" s="692"/>
      <c r="CC58" s="692"/>
      <c r="CD58" s="692"/>
      <c r="CE58" s="692"/>
      <c r="CF58" s="692"/>
      <c r="CG58" s="692"/>
      <c r="CH58" s="692"/>
      <c r="CI58" s="692"/>
      <c r="CJ58" s="692"/>
      <c r="CK58" s="692"/>
      <c r="CL58" s="692"/>
      <c r="CM58" s="692"/>
      <c r="CN58" s="692"/>
      <c r="CO58" s="692"/>
      <c r="CP58" s="692"/>
      <c r="CQ58" s="692"/>
      <c r="CR58" s="692"/>
      <c r="CS58" s="692"/>
      <c r="CT58" s="692"/>
      <c r="CU58" s="692"/>
      <c r="CV58" s="692"/>
      <c r="CW58" s="692"/>
      <c r="CX58" s="692"/>
      <c r="CY58" s="692"/>
      <c r="CZ58" s="692"/>
      <c r="DA58" s="692"/>
      <c r="DB58" s="692"/>
      <c r="DC58" s="692"/>
      <c r="DD58" s="692"/>
      <c r="DE58" s="692"/>
      <c r="DF58" s="692"/>
      <c r="DG58" s="692"/>
      <c r="DH58" s="692"/>
      <c r="DI58" s="692"/>
      <c r="DJ58" s="692"/>
      <c r="DK58" s="692"/>
      <c r="DL58" s="692"/>
      <c r="DM58" s="692"/>
      <c r="DN58" s="692"/>
      <c r="DO58" s="692"/>
      <c r="DP58" s="692"/>
      <c r="DQ58" s="692"/>
      <c r="DR58" s="692"/>
      <c r="DS58" s="692"/>
      <c r="DT58" s="692"/>
      <c r="DU58" s="692"/>
      <c r="DV58" s="692"/>
      <c r="DW58" s="692"/>
      <c r="DX58" s="692"/>
      <c r="DY58" s="692"/>
      <c r="DZ58" s="692"/>
      <c r="EA58" s="692"/>
      <c r="EB58" s="692"/>
      <c r="EC58" s="692"/>
      <c r="ED58" s="692"/>
      <c r="EE58" s="692"/>
      <c r="EF58" s="692"/>
      <c r="EG58" s="692"/>
      <c r="EH58" s="692"/>
      <c r="EI58" s="692"/>
      <c r="EJ58" s="692"/>
      <c r="EK58" s="692"/>
      <c r="EL58" s="692"/>
      <c r="EM58" s="692"/>
      <c r="EN58" s="692"/>
      <c r="EO58" s="692"/>
      <c r="EP58" s="692"/>
      <c r="EQ58" s="692"/>
      <c r="ER58" s="692"/>
      <c r="ES58" s="692"/>
      <c r="ET58" s="692"/>
      <c r="EU58" s="692"/>
      <c r="EV58" s="692"/>
      <c r="EW58" s="692"/>
      <c r="EX58" s="692"/>
      <c r="EY58" s="692"/>
      <c r="EZ58" s="692"/>
      <c r="FA58" s="692"/>
      <c r="FB58" s="692"/>
      <c r="FC58" s="692"/>
      <c r="FD58" s="692"/>
      <c r="FE58" s="692"/>
      <c r="FF58" s="692"/>
      <c r="FG58" s="692"/>
      <c r="FH58" s="692"/>
      <c r="FI58" s="692"/>
      <c r="FJ58" s="692"/>
      <c r="FK58" s="692"/>
      <c r="FL58" s="692"/>
      <c r="FM58" s="692"/>
      <c r="FN58" s="692"/>
      <c r="FO58" s="692"/>
      <c r="FP58" s="692"/>
      <c r="FQ58" s="692"/>
      <c r="FR58" s="692"/>
      <c r="FS58" s="692"/>
      <c r="FT58" s="692"/>
      <c r="FU58" s="692"/>
      <c r="FV58" s="692"/>
      <c r="FW58" s="692"/>
      <c r="FX58" s="692"/>
      <c r="FY58" s="692"/>
      <c r="FZ58" s="692"/>
      <c r="GA58" s="692"/>
      <c r="GB58" s="692"/>
      <c r="GC58" s="692"/>
      <c r="GD58" s="692"/>
      <c r="GE58" s="692"/>
      <c r="GF58" s="692"/>
      <c r="GG58" s="692"/>
      <c r="GH58" s="692"/>
      <c r="GI58" s="692"/>
      <c r="GJ58" s="692"/>
      <c r="GK58" s="692"/>
      <c r="GL58" s="692"/>
      <c r="GM58" s="692"/>
      <c r="GN58" s="692"/>
      <c r="GO58" s="692"/>
      <c r="GP58" s="692"/>
      <c r="GQ58" s="692"/>
      <c r="GR58" s="692"/>
      <c r="GS58" s="692"/>
      <c r="GT58" s="692"/>
      <c r="GU58" s="692"/>
      <c r="GV58" s="692"/>
      <c r="GW58" s="692"/>
      <c r="GX58" s="692"/>
      <c r="GY58" s="692"/>
      <c r="GZ58" s="692"/>
      <c r="HA58" s="692"/>
      <c r="HB58" s="692"/>
      <c r="HC58" s="692"/>
      <c r="HD58" s="692"/>
      <c r="HE58" s="692"/>
      <c r="HF58" s="692"/>
      <c r="HG58" s="692"/>
      <c r="HH58" s="692"/>
      <c r="HI58" s="692"/>
      <c r="HJ58" s="692"/>
      <c r="HK58" s="692"/>
      <c r="HL58" s="692"/>
      <c r="HM58" s="692"/>
      <c r="HN58" s="692"/>
      <c r="HO58" s="692"/>
      <c r="HP58" s="692"/>
      <c r="HQ58" s="692"/>
      <c r="HR58" s="692"/>
      <c r="HS58" s="692"/>
      <c r="HT58" s="692"/>
      <c r="HU58" s="692"/>
      <c r="HV58" s="692"/>
      <c r="HW58" s="692"/>
      <c r="HX58" s="692"/>
      <c r="HY58" s="692"/>
      <c r="HZ58" s="692"/>
      <c r="IA58" s="692"/>
      <c r="IB58" s="692"/>
      <c r="IC58" s="692"/>
      <c r="ID58" s="692"/>
      <c r="IE58" s="692"/>
      <c r="IF58" s="692"/>
      <c r="IG58" s="692"/>
      <c r="IH58" s="692"/>
      <c r="II58" s="692"/>
      <c r="IJ58" s="692"/>
      <c r="IK58" s="692"/>
      <c r="IL58" s="692"/>
      <c r="IM58" s="692"/>
      <c r="IN58" s="692"/>
      <c r="IO58" s="692"/>
      <c r="IP58" s="692"/>
      <c r="IQ58" s="692"/>
      <c r="IR58" s="692"/>
      <c r="IS58" s="692"/>
      <c r="IT58" s="692"/>
    </row>
    <row r="59" spans="1:254" s="723" customFormat="1">
      <c r="W59" s="692"/>
      <c r="X59" s="692"/>
      <c r="Y59" s="692"/>
      <c r="Z59" s="692"/>
      <c r="AA59" s="692"/>
      <c r="AB59" s="692"/>
      <c r="AC59" s="692"/>
      <c r="AD59" s="692"/>
      <c r="AE59" s="692"/>
      <c r="AF59" s="692"/>
      <c r="AG59" s="692"/>
      <c r="AH59" s="692"/>
      <c r="AI59" s="692"/>
      <c r="AJ59" s="692"/>
      <c r="AK59" s="692"/>
      <c r="AL59" s="692"/>
      <c r="AM59" s="692"/>
      <c r="AN59" s="692"/>
      <c r="AO59" s="692"/>
      <c r="AP59" s="692"/>
      <c r="AQ59" s="692"/>
      <c r="AR59" s="692"/>
      <c r="AS59" s="692"/>
      <c r="AT59" s="692"/>
      <c r="AU59" s="692"/>
      <c r="AV59" s="692"/>
      <c r="AW59" s="692"/>
      <c r="AX59" s="692"/>
      <c r="AY59" s="692"/>
      <c r="AZ59" s="692"/>
      <c r="BA59" s="692"/>
      <c r="BB59" s="692"/>
      <c r="BC59" s="692"/>
      <c r="BD59" s="692"/>
      <c r="BE59" s="692"/>
      <c r="BF59" s="692"/>
      <c r="BG59" s="692"/>
      <c r="BH59" s="692"/>
      <c r="BI59" s="692"/>
      <c r="BJ59" s="692"/>
      <c r="BK59" s="692"/>
      <c r="BL59" s="692"/>
      <c r="BM59" s="692"/>
      <c r="BN59" s="692"/>
      <c r="BO59" s="692"/>
      <c r="BP59" s="692"/>
      <c r="BQ59" s="692"/>
      <c r="BR59" s="692"/>
      <c r="BS59" s="692"/>
      <c r="BT59" s="692"/>
      <c r="BU59" s="692"/>
      <c r="BV59" s="692"/>
      <c r="BW59" s="692"/>
      <c r="BX59" s="692"/>
      <c r="BY59" s="692"/>
      <c r="BZ59" s="692"/>
      <c r="CA59" s="692"/>
      <c r="CB59" s="692"/>
      <c r="CC59" s="692"/>
      <c r="CD59" s="692"/>
      <c r="CE59" s="692"/>
      <c r="CF59" s="692"/>
      <c r="CG59" s="692"/>
      <c r="CH59" s="692"/>
      <c r="CI59" s="692"/>
      <c r="CJ59" s="692"/>
      <c r="CK59" s="692"/>
      <c r="CL59" s="692"/>
      <c r="CM59" s="692"/>
      <c r="CN59" s="692"/>
      <c r="CO59" s="692"/>
      <c r="CP59" s="692"/>
      <c r="CQ59" s="692"/>
      <c r="CR59" s="692"/>
      <c r="CS59" s="692"/>
      <c r="CT59" s="692"/>
      <c r="CU59" s="692"/>
      <c r="CV59" s="692"/>
      <c r="CW59" s="692"/>
      <c r="CX59" s="692"/>
      <c r="CY59" s="692"/>
      <c r="CZ59" s="692"/>
      <c r="DA59" s="692"/>
      <c r="DB59" s="692"/>
      <c r="DC59" s="692"/>
      <c r="DD59" s="692"/>
      <c r="DE59" s="692"/>
      <c r="DF59" s="692"/>
      <c r="DG59" s="692"/>
      <c r="DH59" s="692"/>
      <c r="DI59" s="692"/>
      <c r="DJ59" s="692"/>
      <c r="DK59" s="692"/>
      <c r="DL59" s="692"/>
      <c r="DM59" s="692"/>
      <c r="DN59" s="692"/>
      <c r="DO59" s="692"/>
      <c r="DP59" s="692"/>
      <c r="DQ59" s="692"/>
      <c r="DR59" s="692"/>
      <c r="DS59" s="692"/>
      <c r="DT59" s="692"/>
      <c r="DU59" s="692"/>
      <c r="DV59" s="692"/>
      <c r="DW59" s="692"/>
      <c r="DX59" s="692"/>
      <c r="DY59" s="692"/>
      <c r="DZ59" s="692"/>
      <c r="EA59" s="692"/>
      <c r="EB59" s="692"/>
      <c r="EC59" s="692"/>
      <c r="ED59" s="692"/>
      <c r="EE59" s="692"/>
      <c r="EF59" s="692"/>
      <c r="EG59" s="692"/>
      <c r="EH59" s="692"/>
      <c r="EI59" s="692"/>
      <c r="EJ59" s="692"/>
      <c r="EK59" s="692"/>
      <c r="EL59" s="692"/>
      <c r="EM59" s="692"/>
      <c r="EN59" s="692"/>
      <c r="EO59" s="692"/>
      <c r="EP59" s="692"/>
      <c r="EQ59" s="692"/>
      <c r="ER59" s="692"/>
      <c r="ES59" s="692"/>
      <c r="ET59" s="692"/>
      <c r="EU59" s="692"/>
      <c r="EV59" s="692"/>
      <c r="EW59" s="692"/>
      <c r="EX59" s="692"/>
      <c r="EY59" s="692"/>
      <c r="EZ59" s="692"/>
      <c r="FA59" s="692"/>
      <c r="FB59" s="692"/>
      <c r="FC59" s="692"/>
      <c r="FD59" s="692"/>
      <c r="FE59" s="692"/>
      <c r="FF59" s="692"/>
      <c r="FG59" s="692"/>
      <c r="FH59" s="692"/>
      <c r="FI59" s="692"/>
      <c r="FJ59" s="692"/>
      <c r="FK59" s="692"/>
      <c r="FL59" s="692"/>
      <c r="FM59" s="692"/>
      <c r="FN59" s="692"/>
      <c r="FO59" s="692"/>
      <c r="FP59" s="692"/>
      <c r="FQ59" s="692"/>
      <c r="FR59" s="692"/>
      <c r="FS59" s="692"/>
      <c r="FT59" s="692"/>
      <c r="FU59" s="692"/>
      <c r="FV59" s="692"/>
      <c r="FW59" s="692"/>
      <c r="FX59" s="692"/>
      <c r="FY59" s="692"/>
      <c r="FZ59" s="692"/>
      <c r="GA59" s="692"/>
      <c r="GB59" s="692"/>
      <c r="GC59" s="692"/>
      <c r="GD59" s="692"/>
      <c r="GE59" s="692"/>
      <c r="GF59" s="692"/>
      <c r="GG59" s="692"/>
      <c r="GH59" s="692"/>
      <c r="GI59" s="692"/>
      <c r="GJ59" s="692"/>
      <c r="GK59" s="692"/>
      <c r="GL59" s="692"/>
      <c r="GM59" s="692"/>
      <c r="GN59" s="692"/>
      <c r="GO59" s="692"/>
      <c r="GP59" s="692"/>
      <c r="GQ59" s="692"/>
      <c r="GR59" s="692"/>
      <c r="GS59" s="692"/>
      <c r="GT59" s="692"/>
      <c r="GU59" s="692"/>
      <c r="GV59" s="692"/>
      <c r="GW59" s="692"/>
      <c r="GX59" s="692"/>
      <c r="GY59" s="692"/>
      <c r="GZ59" s="692"/>
      <c r="HA59" s="692"/>
      <c r="HB59" s="692"/>
      <c r="HC59" s="692"/>
      <c r="HD59" s="692"/>
      <c r="HE59" s="692"/>
      <c r="HF59" s="692"/>
      <c r="HG59" s="692"/>
      <c r="HH59" s="692"/>
      <c r="HI59" s="692"/>
      <c r="HJ59" s="692"/>
      <c r="HK59" s="692"/>
      <c r="HL59" s="692"/>
      <c r="HM59" s="692"/>
      <c r="HN59" s="692"/>
      <c r="HO59" s="692"/>
      <c r="HP59" s="692"/>
      <c r="HQ59" s="692"/>
      <c r="HR59" s="692"/>
      <c r="HS59" s="692"/>
      <c r="HT59" s="692"/>
      <c r="HU59" s="692"/>
      <c r="HV59" s="692"/>
      <c r="HW59" s="692"/>
      <c r="HX59" s="692"/>
      <c r="HY59" s="692"/>
      <c r="HZ59" s="692"/>
      <c r="IA59" s="692"/>
      <c r="IB59" s="692"/>
      <c r="IC59" s="692"/>
      <c r="ID59" s="692"/>
      <c r="IE59" s="692"/>
      <c r="IF59" s="692"/>
      <c r="IG59" s="692"/>
      <c r="IH59" s="692"/>
      <c r="II59" s="692"/>
      <c r="IJ59" s="692"/>
      <c r="IK59" s="692"/>
      <c r="IL59" s="692"/>
      <c r="IM59" s="692"/>
      <c r="IN59" s="692"/>
      <c r="IO59" s="692"/>
      <c r="IP59" s="692"/>
      <c r="IQ59" s="692"/>
      <c r="IR59" s="692"/>
      <c r="IS59" s="692"/>
      <c r="IT59" s="692"/>
    </row>
    <row r="60" spans="1:254" s="723" customFormat="1">
      <c r="W60" s="692"/>
      <c r="X60" s="692"/>
      <c r="Y60" s="692"/>
      <c r="Z60" s="692"/>
      <c r="AA60" s="692"/>
      <c r="AB60" s="692"/>
      <c r="AC60" s="692"/>
      <c r="AD60" s="692"/>
      <c r="AE60" s="692"/>
      <c r="AF60" s="692"/>
      <c r="AG60" s="692"/>
      <c r="AH60" s="692"/>
      <c r="AI60" s="692"/>
      <c r="AJ60" s="692"/>
      <c r="AK60" s="692"/>
      <c r="AL60" s="692"/>
      <c r="AM60" s="692"/>
      <c r="AN60" s="692"/>
      <c r="AO60" s="692"/>
      <c r="AP60" s="692"/>
      <c r="AQ60" s="692"/>
      <c r="AR60" s="692"/>
      <c r="AS60" s="692"/>
      <c r="AT60" s="692"/>
      <c r="AU60" s="692"/>
      <c r="AV60" s="692"/>
      <c r="AW60" s="692"/>
      <c r="AX60" s="692"/>
      <c r="AY60" s="692"/>
      <c r="AZ60" s="692"/>
      <c r="BA60" s="692"/>
      <c r="BB60" s="692"/>
      <c r="BC60" s="692"/>
      <c r="BD60" s="692"/>
      <c r="BE60" s="692"/>
      <c r="BF60" s="692"/>
      <c r="BG60" s="692"/>
      <c r="BH60" s="692"/>
      <c r="BI60" s="692"/>
      <c r="BJ60" s="692"/>
      <c r="BK60" s="692"/>
      <c r="BL60" s="692"/>
      <c r="BM60" s="692"/>
      <c r="BN60" s="692"/>
      <c r="BO60" s="692"/>
      <c r="BP60" s="692"/>
      <c r="BQ60" s="692"/>
      <c r="BR60" s="692"/>
      <c r="BS60" s="692"/>
      <c r="BT60" s="692"/>
      <c r="BU60" s="692"/>
      <c r="BV60" s="692"/>
      <c r="BW60" s="692"/>
      <c r="BX60" s="692"/>
      <c r="BY60" s="692"/>
      <c r="BZ60" s="692"/>
      <c r="CA60" s="692"/>
      <c r="CB60" s="692"/>
      <c r="CC60" s="692"/>
      <c r="CD60" s="692"/>
      <c r="CE60" s="692"/>
      <c r="CF60" s="692"/>
      <c r="CG60" s="692"/>
      <c r="CH60" s="692"/>
      <c r="CI60" s="692"/>
      <c r="CJ60" s="692"/>
      <c r="CK60" s="692"/>
      <c r="CL60" s="692"/>
      <c r="CM60" s="692"/>
      <c r="CN60" s="692"/>
      <c r="CO60" s="692"/>
      <c r="CP60" s="692"/>
      <c r="CQ60" s="692"/>
      <c r="CR60" s="692"/>
      <c r="CS60" s="692"/>
      <c r="CT60" s="692"/>
      <c r="CU60" s="692"/>
      <c r="CV60" s="692"/>
      <c r="CW60" s="692"/>
      <c r="CX60" s="692"/>
      <c r="CY60" s="692"/>
      <c r="CZ60" s="692"/>
      <c r="DA60" s="692"/>
      <c r="DB60" s="692"/>
      <c r="DC60" s="692"/>
      <c r="DD60" s="692"/>
      <c r="DE60" s="692"/>
      <c r="DF60" s="692"/>
      <c r="DG60" s="692"/>
      <c r="DH60" s="692"/>
      <c r="DI60" s="692"/>
      <c r="DJ60" s="692"/>
      <c r="DK60" s="692"/>
      <c r="DL60" s="692"/>
      <c r="DM60" s="692"/>
      <c r="DN60" s="692"/>
      <c r="DO60" s="692"/>
      <c r="DP60" s="692"/>
      <c r="DQ60" s="692"/>
      <c r="DR60" s="692"/>
      <c r="DS60" s="692"/>
      <c r="DT60" s="692"/>
      <c r="DU60" s="692"/>
      <c r="DV60" s="692"/>
      <c r="DW60" s="692"/>
      <c r="DX60" s="692"/>
      <c r="DY60" s="692"/>
      <c r="DZ60" s="692"/>
      <c r="EA60" s="692"/>
      <c r="EB60" s="692"/>
      <c r="EC60" s="692"/>
      <c r="ED60" s="692"/>
      <c r="EE60" s="692"/>
      <c r="EF60" s="692"/>
      <c r="EG60" s="692"/>
      <c r="EH60" s="692"/>
      <c r="EI60" s="692"/>
      <c r="EJ60" s="692"/>
      <c r="EK60" s="692"/>
      <c r="EL60" s="692"/>
      <c r="EM60" s="692"/>
      <c r="EN60" s="692"/>
      <c r="EO60" s="692"/>
      <c r="EP60" s="692"/>
      <c r="EQ60" s="692"/>
      <c r="ER60" s="692"/>
      <c r="ES60" s="692"/>
      <c r="ET60" s="692"/>
      <c r="EU60" s="692"/>
      <c r="EV60" s="692"/>
      <c r="EW60" s="692"/>
      <c r="EX60" s="692"/>
      <c r="EY60" s="692"/>
      <c r="EZ60" s="692"/>
      <c r="FA60" s="692"/>
      <c r="FB60" s="692"/>
      <c r="FC60" s="692"/>
      <c r="FD60" s="692"/>
      <c r="FE60" s="692"/>
      <c r="FF60" s="692"/>
      <c r="FG60" s="692"/>
      <c r="FH60" s="692"/>
      <c r="FI60" s="692"/>
      <c r="FJ60" s="692"/>
      <c r="FK60" s="692"/>
      <c r="FL60" s="692"/>
      <c r="FM60" s="692"/>
      <c r="FN60" s="692"/>
      <c r="FO60" s="692"/>
      <c r="FP60" s="692"/>
      <c r="FQ60" s="692"/>
      <c r="FR60" s="692"/>
      <c r="FS60" s="692"/>
      <c r="FT60" s="692"/>
      <c r="FU60" s="692"/>
      <c r="FV60" s="692"/>
      <c r="FW60" s="692"/>
      <c r="FX60" s="692"/>
      <c r="FY60" s="692"/>
      <c r="FZ60" s="692"/>
      <c r="GA60" s="692"/>
      <c r="GB60" s="692"/>
      <c r="GC60" s="692"/>
      <c r="GD60" s="692"/>
      <c r="GE60" s="692"/>
      <c r="GF60" s="692"/>
      <c r="GG60" s="692"/>
      <c r="GH60" s="692"/>
      <c r="GI60" s="692"/>
      <c r="GJ60" s="692"/>
      <c r="GK60" s="692"/>
      <c r="GL60" s="692"/>
      <c r="GM60" s="692"/>
      <c r="GN60" s="692"/>
      <c r="GO60" s="692"/>
      <c r="GP60" s="692"/>
      <c r="GQ60" s="692"/>
      <c r="GR60" s="692"/>
      <c r="GS60" s="692"/>
      <c r="GT60" s="692"/>
      <c r="GU60" s="692"/>
      <c r="GV60" s="692"/>
      <c r="GW60" s="692"/>
      <c r="GX60" s="692"/>
      <c r="GY60" s="692"/>
      <c r="GZ60" s="692"/>
      <c r="HA60" s="692"/>
      <c r="HB60" s="692"/>
      <c r="HC60" s="692"/>
      <c r="HD60" s="692"/>
      <c r="HE60" s="692"/>
      <c r="HF60" s="692"/>
      <c r="HG60" s="692"/>
      <c r="HH60" s="692"/>
      <c r="HI60" s="692"/>
      <c r="HJ60" s="692"/>
      <c r="HK60" s="692"/>
      <c r="HL60" s="692"/>
      <c r="HM60" s="692"/>
      <c r="HN60" s="692"/>
      <c r="HO60" s="692"/>
      <c r="HP60" s="692"/>
      <c r="HQ60" s="692"/>
      <c r="HR60" s="692"/>
      <c r="HS60" s="692"/>
      <c r="HT60" s="692"/>
      <c r="HU60" s="692"/>
      <c r="HV60" s="692"/>
      <c r="HW60" s="692"/>
      <c r="HX60" s="692"/>
      <c r="HY60" s="692"/>
      <c r="HZ60" s="692"/>
      <c r="IA60" s="692"/>
      <c r="IB60" s="692"/>
      <c r="IC60" s="692"/>
      <c r="ID60" s="692"/>
      <c r="IE60" s="692"/>
      <c r="IF60" s="692"/>
      <c r="IG60" s="692"/>
      <c r="IH60" s="692"/>
      <c r="II60" s="692"/>
      <c r="IJ60" s="692"/>
      <c r="IK60" s="692"/>
      <c r="IL60" s="692"/>
      <c r="IM60" s="692"/>
      <c r="IN60" s="692"/>
      <c r="IO60" s="692"/>
      <c r="IP60" s="692"/>
      <c r="IQ60" s="692"/>
      <c r="IR60" s="692"/>
      <c r="IS60" s="692"/>
      <c r="IT60" s="692"/>
    </row>
    <row r="61" spans="1:254" s="723" customFormat="1">
      <c r="W61" s="692"/>
      <c r="X61" s="692"/>
      <c r="Y61" s="692"/>
      <c r="Z61" s="692"/>
      <c r="AA61" s="692"/>
      <c r="AB61" s="692"/>
      <c r="AC61" s="692"/>
      <c r="AD61" s="692"/>
      <c r="AE61" s="692"/>
      <c r="AF61" s="692"/>
      <c r="AG61" s="692"/>
      <c r="AH61" s="692"/>
      <c r="AI61" s="692"/>
      <c r="AJ61" s="692"/>
      <c r="AK61" s="692"/>
      <c r="AL61" s="692"/>
      <c r="AM61" s="692"/>
      <c r="AN61" s="692"/>
      <c r="AO61" s="692"/>
      <c r="AP61" s="692"/>
      <c r="AQ61" s="692"/>
      <c r="AR61" s="692"/>
      <c r="AS61" s="692"/>
      <c r="AT61" s="692"/>
      <c r="AU61" s="692"/>
      <c r="AV61" s="692"/>
      <c r="AW61" s="692"/>
      <c r="AX61" s="692"/>
      <c r="AY61" s="692"/>
      <c r="AZ61" s="692"/>
      <c r="BA61" s="692"/>
      <c r="BB61" s="692"/>
      <c r="BC61" s="692"/>
      <c r="BD61" s="692"/>
      <c r="BE61" s="692"/>
      <c r="BF61" s="692"/>
      <c r="BG61" s="692"/>
      <c r="BH61" s="692"/>
      <c r="BI61" s="692"/>
      <c r="BJ61" s="692"/>
      <c r="BK61" s="692"/>
      <c r="BL61" s="692"/>
      <c r="BM61" s="692"/>
      <c r="BN61" s="692"/>
      <c r="BO61" s="692"/>
      <c r="BP61" s="692"/>
      <c r="BQ61" s="692"/>
      <c r="BR61" s="692"/>
      <c r="BS61" s="692"/>
      <c r="BT61" s="692"/>
      <c r="BU61" s="692"/>
      <c r="BV61" s="692"/>
      <c r="BW61" s="692"/>
      <c r="BX61" s="692"/>
      <c r="BY61" s="692"/>
      <c r="BZ61" s="692"/>
      <c r="CA61" s="692"/>
      <c r="CB61" s="692"/>
      <c r="CC61" s="692"/>
      <c r="CD61" s="692"/>
      <c r="CE61" s="692"/>
      <c r="CF61" s="692"/>
      <c r="CG61" s="692"/>
      <c r="CH61" s="692"/>
      <c r="CI61" s="692"/>
      <c r="CJ61" s="692"/>
      <c r="CK61" s="692"/>
      <c r="CL61" s="692"/>
      <c r="CM61" s="692"/>
      <c r="CN61" s="692"/>
      <c r="CO61" s="692"/>
      <c r="CP61" s="692"/>
      <c r="CQ61" s="692"/>
      <c r="CR61" s="692"/>
      <c r="CS61" s="692"/>
      <c r="CT61" s="692"/>
      <c r="CU61" s="692"/>
      <c r="CV61" s="692"/>
      <c r="CW61" s="692"/>
      <c r="CX61" s="692"/>
      <c r="CY61" s="692"/>
      <c r="CZ61" s="692"/>
      <c r="DA61" s="692"/>
      <c r="DB61" s="692"/>
      <c r="DC61" s="692"/>
      <c r="DD61" s="692"/>
      <c r="DE61" s="692"/>
      <c r="DF61" s="692"/>
      <c r="DG61" s="692"/>
      <c r="DH61" s="692"/>
      <c r="DI61" s="692"/>
      <c r="DJ61" s="692"/>
      <c r="DK61" s="692"/>
      <c r="DL61" s="692"/>
      <c r="DM61" s="692"/>
      <c r="DN61" s="692"/>
      <c r="DO61" s="692"/>
      <c r="DP61" s="692"/>
      <c r="DQ61" s="692"/>
      <c r="DR61" s="692"/>
      <c r="DS61" s="692"/>
      <c r="DT61" s="692"/>
      <c r="DU61" s="692"/>
      <c r="DV61" s="692"/>
      <c r="DW61" s="692"/>
      <c r="DX61" s="692"/>
      <c r="DY61" s="692"/>
      <c r="DZ61" s="692"/>
      <c r="EA61" s="692"/>
      <c r="EB61" s="692"/>
      <c r="EC61" s="692"/>
      <c r="ED61" s="692"/>
      <c r="EE61" s="692"/>
      <c r="EF61" s="692"/>
      <c r="EG61" s="692"/>
      <c r="EH61" s="692"/>
      <c r="EI61" s="692"/>
      <c r="EJ61" s="692"/>
      <c r="EK61" s="692"/>
      <c r="EL61" s="692"/>
      <c r="EM61" s="692"/>
      <c r="EN61" s="692"/>
      <c r="EO61" s="692"/>
      <c r="EP61" s="692"/>
      <c r="EQ61" s="692"/>
      <c r="ER61" s="692"/>
      <c r="ES61" s="692"/>
      <c r="ET61" s="692"/>
      <c r="EU61" s="692"/>
      <c r="EV61" s="692"/>
      <c r="EW61" s="692"/>
      <c r="EX61" s="692"/>
      <c r="EY61" s="692"/>
      <c r="EZ61" s="692"/>
      <c r="FA61" s="692"/>
      <c r="FB61" s="692"/>
      <c r="FC61" s="692"/>
      <c r="FD61" s="692"/>
      <c r="FE61" s="692"/>
      <c r="FF61" s="692"/>
      <c r="FG61" s="692"/>
      <c r="FH61" s="692"/>
      <c r="FI61" s="692"/>
      <c r="FJ61" s="692"/>
      <c r="FK61" s="692"/>
      <c r="FL61" s="692"/>
      <c r="FM61" s="692"/>
      <c r="FN61" s="692"/>
      <c r="FO61" s="692"/>
      <c r="FP61" s="692"/>
      <c r="FQ61" s="692"/>
      <c r="FR61" s="692"/>
      <c r="FS61" s="692"/>
      <c r="FT61" s="692"/>
      <c r="FU61" s="692"/>
      <c r="FV61" s="692"/>
      <c r="FW61" s="692"/>
      <c r="FX61" s="692"/>
      <c r="FY61" s="692"/>
      <c r="FZ61" s="692"/>
      <c r="GA61" s="692"/>
      <c r="GB61" s="692"/>
      <c r="GC61" s="692"/>
      <c r="GD61" s="692"/>
      <c r="GE61" s="692"/>
      <c r="GF61" s="692"/>
      <c r="GG61" s="692"/>
      <c r="GH61" s="692"/>
      <c r="GI61" s="692"/>
      <c r="GJ61" s="692"/>
      <c r="GK61" s="692"/>
      <c r="GL61" s="692"/>
      <c r="GM61" s="692"/>
      <c r="GN61" s="692"/>
      <c r="GO61" s="692"/>
      <c r="GP61" s="692"/>
      <c r="GQ61" s="692"/>
      <c r="GR61" s="692"/>
      <c r="GS61" s="692"/>
      <c r="GT61" s="692"/>
      <c r="GU61" s="692"/>
      <c r="GV61" s="692"/>
      <c r="GW61" s="692"/>
      <c r="GX61" s="692"/>
      <c r="GY61" s="692"/>
      <c r="GZ61" s="692"/>
      <c r="HA61" s="692"/>
      <c r="HB61" s="692"/>
      <c r="HC61" s="692"/>
      <c r="HD61" s="692"/>
      <c r="HE61" s="692"/>
      <c r="HF61" s="692"/>
      <c r="HG61" s="692"/>
      <c r="HH61" s="692"/>
      <c r="HI61" s="692"/>
      <c r="HJ61" s="692"/>
      <c r="HK61" s="692"/>
      <c r="HL61" s="692"/>
      <c r="HM61" s="692"/>
      <c r="HN61" s="692"/>
      <c r="HO61" s="692"/>
      <c r="HP61" s="692"/>
      <c r="HQ61" s="692"/>
      <c r="HR61" s="692"/>
      <c r="HS61" s="692"/>
      <c r="HT61" s="692"/>
      <c r="HU61" s="692"/>
      <c r="HV61" s="692"/>
      <c r="HW61" s="692"/>
      <c r="HX61" s="692"/>
      <c r="HY61" s="692"/>
      <c r="HZ61" s="692"/>
      <c r="IA61" s="692"/>
      <c r="IB61" s="692"/>
      <c r="IC61" s="692"/>
      <c r="ID61" s="692"/>
      <c r="IE61" s="692"/>
      <c r="IF61" s="692"/>
      <c r="IG61" s="692"/>
      <c r="IH61" s="692"/>
      <c r="II61" s="692"/>
      <c r="IJ61" s="692"/>
      <c r="IK61" s="692"/>
      <c r="IL61" s="692"/>
      <c r="IM61" s="692"/>
      <c r="IN61" s="692"/>
      <c r="IO61" s="692"/>
      <c r="IP61" s="692"/>
      <c r="IQ61" s="692"/>
      <c r="IR61" s="692"/>
      <c r="IS61" s="692"/>
      <c r="IT61" s="692"/>
    </row>
    <row r="62" spans="1:254" s="723" customFormat="1">
      <c r="W62" s="692"/>
      <c r="X62" s="692"/>
      <c r="Y62" s="692"/>
      <c r="Z62" s="692"/>
      <c r="AA62" s="692"/>
      <c r="AB62" s="692"/>
      <c r="AC62" s="692"/>
      <c r="AD62" s="692"/>
      <c r="AE62" s="692"/>
      <c r="AF62" s="692"/>
      <c r="AG62" s="692"/>
      <c r="AH62" s="692"/>
      <c r="AI62" s="692"/>
      <c r="AJ62" s="692"/>
      <c r="AK62" s="692"/>
      <c r="AL62" s="692"/>
      <c r="AM62" s="692"/>
      <c r="AN62" s="692"/>
      <c r="AO62" s="692"/>
      <c r="AP62" s="692"/>
      <c r="AQ62" s="692"/>
      <c r="AR62" s="692"/>
      <c r="AS62" s="692"/>
      <c r="AT62" s="692"/>
      <c r="AU62" s="692"/>
      <c r="AV62" s="692"/>
      <c r="AW62" s="692"/>
      <c r="AX62" s="692"/>
      <c r="AY62" s="692"/>
      <c r="AZ62" s="692"/>
      <c r="BA62" s="692"/>
      <c r="BB62" s="692"/>
      <c r="BC62" s="692"/>
      <c r="BD62" s="692"/>
      <c r="BE62" s="692"/>
      <c r="BF62" s="692"/>
      <c r="BG62" s="692"/>
      <c r="BH62" s="692"/>
      <c r="BI62" s="692"/>
      <c r="BJ62" s="692"/>
      <c r="BK62" s="692"/>
      <c r="BL62" s="692"/>
      <c r="BM62" s="692"/>
      <c r="BN62" s="692"/>
      <c r="BO62" s="692"/>
      <c r="BP62" s="692"/>
      <c r="BQ62" s="692"/>
      <c r="BR62" s="692"/>
      <c r="BS62" s="692"/>
      <c r="BT62" s="692"/>
      <c r="BU62" s="692"/>
      <c r="BV62" s="692"/>
      <c r="BW62" s="692"/>
      <c r="BX62" s="692"/>
      <c r="BY62" s="692"/>
      <c r="BZ62" s="692"/>
      <c r="CA62" s="692"/>
      <c r="CB62" s="692"/>
      <c r="CC62" s="692"/>
      <c r="CD62" s="692"/>
      <c r="CE62" s="692"/>
      <c r="CF62" s="692"/>
      <c r="CG62" s="692"/>
      <c r="CH62" s="692"/>
      <c r="CI62" s="692"/>
      <c r="CJ62" s="692"/>
      <c r="CK62" s="692"/>
      <c r="CL62" s="692"/>
      <c r="CM62" s="692"/>
      <c r="CN62" s="692"/>
      <c r="CO62" s="692"/>
      <c r="CP62" s="692"/>
      <c r="CQ62" s="692"/>
      <c r="CR62" s="692"/>
      <c r="CS62" s="692"/>
      <c r="CT62" s="692"/>
      <c r="CU62" s="692"/>
      <c r="CV62" s="692"/>
      <c r="CW62" s="692"/>
      <c r="CX62" s="692"/>
      <c r="CY62" s="692"/>
      <c r="CZ62" s="692"/>
      <c r="DA62" s="692"/>
      <c r="DB62" s="692"/>
      <c r="DC62" s="692"/>
      <c r="DD62" s="692"/>
      <c r="DE62" s="692"/>
      <c r="DF62" s="692"/>
      <c r="DG62" s="692"/>
      <c r="DH62" s="692"/>
      <c r="DI62" s="692"/>
      <c r="DJ62" s="692"/>
      <c r="DK62" s="692"/>
      <c r="DL62" s="692"/>
      <c r="DM62" s="692"/>
      <c r="DN62" s="692"/>
      <c r="DO62" s="692"/>
      <c r="DP62" s="692"/>
      <c r="DQ62" s="692"/>
      <c r="DR62" s="692"/>
      <c r="DS62" s="692"/>
      <c r="DT62" s="692"/>
      <c r="DU62" s="692"/>
      <c r="DV62" s="692"/>
      <c r="DW62" s="692"/>
      <c r="DX62" s="692"/>
      <c r="DY62" s="692"/>
      <c r="DZ62" s="692"/>
      <c r="EA62" s="692"/>
      <c r="EB62" s="692"/>
      <c r="EC62" s="692"/>
      <c r="ED62" s="692"/>
      <c r="EE62" s="692"/>
      <c r="EF62" s="692"/>
      <c r="EG62" s="692"/>
      <c r="EH62" s="692"/>
      <c r="EI62" s="692"/>
      <c r="EJ62" s="692"/>
      <c r="EK62" s="692"/>
      <c r="EL62" s="692"/>
      <c r="EM62" s="692"/>
      <c r="EN62" s="692"/>
      <c r="EO62" s="692"/>
      <c r="EP62" s="692"/>
      <c r="EQ62" s="692"/>
      <c r="ER62" s="692"/>
      <c r="ES62" s="692"/>
      <c r="ET62" s="692"/>
      <c r="EU62" s="692"/>
      <c r="EV62" s="692"/>
      <c r="EW62" s="692"/>
      <c r="EX62" s="692"/>
      <c r="EY62" s="692"/>
      <c r="EZ62" s="692"/>
      <c r="FA62" s="692"/>
      <c r="FB62" s="692"/>
      <c r="FC62" s="692"/>
      <c r="FD62" s="692"/>
      <c r="FE62" s="692"/>
      <c r="FF62" s="692"/>
      <c r="FG62" s="692"/>
      <c r="FH62" s="692"/>
      <c r="FI62" s="692"/>
      <c r="FJ62" s="692"/>
      <c r="FK62" s="692"/>
      <c r="FL62" s="692"/>
      <c r="FM62" s="692"/>
      <c r="FN62" s="692"/>
      <c r="FO62" s="692"/>
      <c r="FP62" s="692"/>
      <c r="FQ62" s="692"/>
      <c r="FR62" s="692"/>
      <c r="FS62" s="692"/>
      <c r="FT62" s="692"/>
      <c r="FU62" s="692"/>
      <c r="FV62" s="692"/>
      <c r="FW62" s="692"/>
      <c r="FX62" s="692"/>
      <c r="FY62" s="692"/>
      <c r="FZ62" s="692"/>
      <c r="GA62" s="692"/>
      <c r="GB62" s="692"/>
      <c r="GC62" s="692"/>
      <c r="GD62" s="692"/>
      <c r="GE62" s="692"/>
      <c r="GF62" s="692"/>
      <c r="GG62" s="692"/>
      <c r="GH62" s="692"/>
      <c r="GI62" s="692"/>
      <c r="GJ62" s="692"/>
      <c r="GK62" s="692"/>
      <c r="GL62" s="692"/>
      <c r="GM62" s="692"/>
      <c r="GN62" s="692"/>
      <c r="GO62" s="692"/>
      <c r="GP62" s="692"/>
      <c r="GQ62" s="692"/>
      <c r="GR62" s="692"/>
      <c r="GS62" s="692"/>
      <c r="GT62" s="692"/>
      <c r="GU62" s="692"/>
      <c r="GV62" s="692"/>
      <c r="GW62" s="692"/>
      <c r="GX62" s="692"/>
      <c r="GY62" s="692"/>
      <c r="GZ62" s="692"/>
      <c r="HA62" s="692"/>
      <c r="HB62" s="692"/>
      <c r="HC62" s="692"/>
      <c r="HD62" s="692"/>
      <c r="HE62" s="692"/>
      <c r="HF62" s="692"/>
      <c r="HG62" s="692"/>
      <c r="HH62" s="692"/>
      <c r="HI62" s="692"/>
      <c r="HJ62" s="692"/>
      <c r="HK62" s="692"/>
      <c r="HL62" s="692"/>
      <c r="HM62" s="692"/>
      <c r="HN62" s="692"/>
      <c r="HO62" s="692"/>
      <c r="HP62" s="692"/>
      <c r="HQ62" s="692"/>
      <c r="HR62" s="692"/>
      <c r="HS62" s="692"/>
      <c r="HT62" s="692"/>
      <c r="HU62" s="692"/>
      <c r="HV62" s="692"/>
      <c r="HW62" s="692"/>
      <c r="HX62" s="692"/>
      <c r="HY62" s="692"/>
      <c r="HZ62" s="692"/>
      <c r="IA62" s="692"/>
      <c r="IB62" s="692"/>
      <c r="IC62" s="692"/>
      <c r="ID62" s="692"/>
      <c r="IE62" s="692"/>
      <c r="IF62" s="692"/>
      <c r="IG62" s="692"/>
      <c r="IH62" s="692"/>
      <c r="II62" s="692"/>
      <c r="IJ62" s="692"/>
      <c r="IK62" s="692"/>
      <c r="IL62" s="692"/>
      <c r="IM62" s="692"/>
      <c r="IN62" s="692"/>
      <c r="IO62" s="692"/>
      <c r="IP62" s="692"/>
      <c r="IQ62" s="692"/>
      <c r="IR62" s="692"/>
      <c r="IS62" s="692"/>
      <c r="IT62" s="692"/>
    </row>
    <row r="63" spans="1:254" s="723" customFormat="1">
      <c r="W63" s="692"/>
      <c r="X63" s="692"/>
      <c r="Y63" s="692"/>
      <c r="Z63" s="692"/>
      <c r="AA63" s="692"/>
      <c r="AB63" s="692"/>
      <c r="AC63" s="692"/>
      <c r="AD63" s="692"/>
      <c r="AE63" s="692"/>
      <c r="AF63" s="692"/>
      <c r="AG63" s="692"/>
      <c r="AH63" s="692"/>
      <c r="AI63" s="692"/>
      <c r="AJ63" s="692"/>
      <c r="AK63" s="692"/>
      <c r="AL63" s="692"/>
      <c r="AM63" s="692"/>
      <c r="AN63" s="692"/>
      <c r="AO63" s="692"/>
      <c r="AP63" s="692"/>
      <c r="AQ63" s="692"/>
      <c r="AR63" s="692"/>
      <c r="AS63" s="692"/>
      <c r="AT63" s="692"/>
      <c r="AU63" s="692"/>
      <c r="AV63" s="692"/>
      <c r="AW63" s="692"/>
      <c r="AX63" s="692"/>
      <c r="AY63" s="692"/>
      <c r="AZ63" s="692"/>
      <c r="BA63" s="692"/>
      <c r="BB63" s="692"/>
      <c r="BC63" s="692"/>
      <c r="BD63" s="692"/>
      <c r="BE63" s="692"/>
      <c r="BF63" s="692"/>
      <c r="BG63" s="692"/>
      <c r="BH63" s="692"/>
      <c r="BI63" s="692"/>
      <c r="BJ63" s="692"/>
      <c r="BK63" s="692"/>
      <c r="BL63" s="692"/>
      <c r="BM63" s="692"/>
      <c r="BN63" s="692"/>
      <c r="BO63" s="692"/>
      <c r="BP63" s="692"/>
      <c r="BQ63" s="692"/>
      <c r="BR63" s="692"/>
      <c r="BS63" s="692"/>
      <c r="BT63" s="692"/>
      <c r="BU63" s="692"/>
      <c r="BV63" s="692"/>
      <c r="BW63" s="692"/>
      <c r="BX63" s="692"/>
      <c r="BY63" s="692"/>
      <c r="BZ63" s="692"/>
      <c r="CA63" s="692"/>
      <c r="CB63" s="692"/>
      <c r="CC63" s="692"/>
      <c r="CD63" s="692"/>
      <c r="CE63" s="692"/>
      <c r="CF63" s="692"/>
      <c r="CG63" s="692"/>
      <c r="CH63" s="692"/>
      <c r="CI63" s="692"/>
      <c r="CJ63" s="692"/>
      <c r="CK63" s="692"/>
      <c r="CL63" s="692"/>
      <c r="CM63" s="692"/>
      <c r="CN63" s="692"/>
      <c r="CO63" s="692"/>
      <c r="CP63" s="692"/>
      <c r="CQ63" s="692"/>
      <c r="CR63" s="692"/>
      <c r="CS63" s="692"/>
      <c r="CT63" s="692"/>
      <c r="CU63" s="692"/>
      <c r="CV63" s="692"/>
      <c r="CW63" s="692"/>
      <c r="CX63" s="692"/>
      <c r="CY63" s="692"/>
      <c r="CZ63" s="692"/>
      <c r="DA63" s="692"/>
      <c r="DB63" s="692"/>
      <c r="DC63" s="692"/>
      <c r="DD63" s="692"/>
      <c r="DE63" s="692"/>
      <c r="DF63" s="692"/>
      <c r="DG63" s="692"/>
      <c r="DH63" s="692"/>
      <c r="DI63" s="692"/>
      <c r="DJ63" s="692"/>
      <c r="DK63" s="692"/>
      <c r="DL63" s="692"/>
      <c r="DM63" s="692"/>
      <c r="DN63" s="692"/>
      <c r="DO63" s="692"/>
      <c r="DP63" s="692"/>
      <c r="DQ63" s="692"/>
      <c r="DR63" s="692"/>
      <c r="DS63" s="692"/>
      <c r="DT63" s="692"/>
      <c r="DU63" s="692"/>
      <c r="DV63" s="692"/>
      <c r="DW63" s="692"/>
      <c r="DX63" s="692"/>
      <c r="DY63" s="692"/>
      <c r="DZ63" s="692"/>
      <c r="EA63" s="692"/>
      <c r="EB63" s="692"/>
      <c r="EC63" s="692"/>
      <c r="ED63" s="692"/>
      <c r="EE63" s="692"/>
      <c r="EF63" s="692"/>
      <c r="EG63" s="692"/>
      <c r="EH63" s="692"/>
      <c r="EI63" s="692"/>
      <c r="EJ63" s="692"/>
      <c r="EK63" s="692"/>
      <c r="EL63" s="692"/>
      <c r="EM63" s="692"/>
      <c r="EN63" s="692"/>
      <c r="EO63" s="692"/>
      <c r="EP63" s="692"/>
      <c r="EQ63" s="692"/>
      <c r="ER63" s="692"/>
      <c r="ES63" s="692"/>
      <c r="ET63" s="692"/>
      <c r="EU63" s="692"/>
      <c r="EV63" s="692"/>
      <c r="EW63" s="692"/>
      <c r="EX63" s="692"/>
      <c r="EY63" s="692"/>
      <c r="EZ63" s="692"/>
      <c r="FA63" s="692"/>
      <c r="FB63" s="692"/>
      <c r="FC63" s="692"/>
      <c r="FD63" s="692"/>
      <c r="FE63" s="692"/>
      <c r="FF63" s="692"/>
      <c r="FG63" s="692"/>
      <c r="FH63" s="692"/>
      <c r="FI63" s="692"/>
      <c r="FJ63" s="692"/>
      <c r="FK63" s="692"/>
      <c r="FL63" s="692"/>
      <c r="FM63" s="692"/>
      <c r="FN63" s="692"/>
      <c r="FO63" s="692"/>
      <c r="FP63" s="692"/>
      <c r="FQ63" s="692"/>
      <c r="FR63" s="692"/>
      <c r="FS63" s="692"/>
      <c r="FT63" s="692"/>
      <c r="FU63" s="692"/>
      <c r="FV63" s="692"/>
      <c r="FW63" s="692"/>
      <c r="FX63" s="692"/>
      <c r="FY63" s="692"/>
      <c r="FZ63" s="692"/>
      <c r="GA63" s="692"/>
      <c r="GB63" s="692"/>
      <c r="GC63" s="692"/>
      <c r="GD63" s="692"/>
      <c r="GE63" s="692"/>
      <c r="GF63" s="692"/>
      <c r="GG63" s="692"/>
      <c r="GH63" s="692"/>
      <c r="GI63" s="692"/>
      <c r="GJ63" s="692"/>
      <c r="GK63" s="692"/>
      <c r="GL63" s="692"/>
      <c r="GM63" s="692"/>
      <c r="GN63" s="692"/>
      <c r="GO63" s="692"/>
      <c r="GP63" s="692"/>
      <c r="GQ63" s="692"/>
      <c r="GR63" s="692"/>
      <c r="GS63" s="692"/>
      <c r="GT63" s="692"/>
      <c r="GU63" s="692"/>
      <c r="GV63" s="692"/>
      <c r="GW63" s="692"/>
      <c r="GX63" s="692"/>
      <c r="GY63" s="692"/>
      <c r="GZ63" s="692"/>
      <c r="HA63" s="692"/>
      <c r="HB63" s="692"/>
      <c r="HC63" s="692"/>
      <c r="HD63" s="692"/>
      <c r="HE63" s="692"/>
      <c r="HF63" s="692"/>
      <c r="HG63" s="692"/>
      <c r="HH63" s="692"/>
      <c r="HI63" s="692"/>
      <c r="HJ63" s="692"/>
      <c r="HK63" s="692"/>
      <c r="HL63" s="692"/>
      <c r="HM63" s="692"/>
      <c r="HN63" s="692"/>
      <c r="HO63" s="692"/>
      <c r="HP63" s="692"/>
      <c r="HQ63" s="692"/>
      <c r="HR63" s="692"/>
      <c r="HS63" s="692"/>
      <c r="HT63" s="692"/>
      <c r="HU63" s="692"/>
      <c r="HV63" s="692"/>
      <c r="HW63" s="692"/>
      <c r="HX63" s="692"/>
      <c r="HY63" s="692"/>
      <c r="HZ63" s="692"/>
      <c r="IA63" s="692"/>
      <c r="IB63" s="692"/>
      <c r="IC63" s="692"/>
      <c r="ID63" s="692"/>
      <c r="IE63" s="692"/>
      <c r="IF63" s="692"/>
      <c r="IG63" s="692"/>
      <c r="IH63" s="692"/>
      <c r="II63" s="692"/>
      <c r="IJ63" s="692"/>
      <c r="IK63" s="692"/>
      <c r="IL63" s="692"/>
      <c r="IM63" s="692"/>
      <c r="IN63" s="692"/>
      <c r="IO63" s="692"/>
      <c r="IP63" s="692"/>
      <c r="IQ63" s="692"/>
      <c r="IR63" s="692"/>
      <c r="IS63" s="692"/>
      <c r="IT63" s="692"/>
    </row>
    <row r="64" spans="1:254" s="723" customFormat="1">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2"/>
      <c r="AY64" s="692"/>
      <c r="AZ64" s="692"/>
      <c r="BA64" s="692"/>
      <c r="BB64" s="692"/>
      <c r="BC64" s="692"/>
      <c r="BD64" s="692"/>
      <c r="BE64" s="692"/>
      <c r="BF64" s="692"/>
      <c r="BG64" s="692"/>
      <c r="BH64" s="692"/>
      <c r="BI64" s="692"/>
      <c r="BJ64" s="692"/>
      <c r="BK64" s="692"/>
      <c r="BL64" s="692"/>
      <c r="BM64" s="692"/>
      <c r="BN64" s="692"/>
      <c r="BO64" s="692"/>
      <c r="BP64" s="692"/>
      <c r="BQ64" s="692"/>
      <c r="BR64" s="692"/>
      <c r="BS64" s="692"/>
      <c r="BT64" s="692"/>
      <c r="BU64" s="692"/>
      <c r="BV64" s="692"/>
      <c r="BW64" s="692"/>
      <c r="BX64" s="692"/>
      <c r="BY64" s="692"/>
      <c r="BZ64" s="692"/>
      <c r="CA64" s="692"/>
      <c r="CB64" s="692"/>
      <c r="CC64" s="692"/>
      <c r="CD64" s="692"/>
      <c r="CE64" s="692"/>
      <c r="CF64" s="692"/>
      <c r="CG64" s="692"/>
      <c r="CH64" s="692"/>
      <c r="CI64" s="692"/>
      <c r="CJ64" s="692"/>
      <c r="CK64" s="692"/>
      <c r="CL64" s="692"/>
      <c r="CM64" s="692"/>
      <c r="CN64" s="692"/>
      <c r="CO64" s="692"/>
      <c r="CP64" s="692"/>
      <c r="CQ64" s="692"/>
      <c r="CR64" s="692"/>
      <c r="CS64" s="692"/>
      <c r="CT64" s="692"/>
      <c r="CU64" s="692"/>
      <c r="CV64" s="692"/>
      <c r="CW64" s="692"/>
      <c r="CX64" s="692"/>
      <c r="CY64" s="692"/>
      <c r="CZ64" s="692"/>
      <c r="DA64" s="692"/>
      <c r="DB64" s="692"/>
      <c r="DC64" s="692"/>
      <c r="DD64" s="692"/>
      <c r="DE64" s="692"/>
      <c r="DF64" s="692"/>
      <c r="DG64" s="692"/>
      <c r="DH64" s="692"/>
      <c r="DI64" s="692"/>
      <c r="DJ64" s="692"/>
      <c r="DK64" s="692"/>
      <c r="DL64" s="692"/>
      <c r="DM64" s="692"/>
      <c r="DN64" s="692"/>
      <c r="DO64" s="692"/>
      <c r="DP64" s="692"/>
      <c r="DQ64" s="692"/>
      <c r="DR64" s="692"/>
      <c r="DS64" s="692"/>
      <c r="DT64" s="692"/>
      <c r="DU64" s="692"/>
      <c r="DV64" s="692"/>
      <c r="DW64" s="692"/>
      <c r="DX64" s="692"/>
      <c r="DY64" s="692"/>
      <c r="DZ64" s="692"/>
      <c r="EA64" s="692"/>
      <c r="EB64" s="692"/>
      <c r="EC64" s="692"/>
      <c r="ED64" s="692"/>
      <c r="EE64" s="692"/>
      <c r="EF64" s="692"/>
      <c r="EG64" s="692"/>
      <c r="EH64" s="692"/>
      <c r="EI64" s="692"/>
      <c r="EJ64" s="692"/>
      <c r="EK64" s="692"/>
      <c r="EL64" s="692"/>
      <c r="EM64" s="692"/>
      <c r="EN64" s="692"/>
      <c r="EO64" s="692"/>
      <c r="EP64" s="692"/>
      <c r="EQ64" s="692"/>
      <c r="ER64" s="692"/>
      <c r="ES64" s="692"/>
      <c r="ET64" s="692"/>
      <c r="EU64" s="692"/>
      <c r="EV64" s="692"/>
      <c r="EW64" s="692"/>
      <c r="EX64" s="692"/>
      <c r="EY64" s="692"/>
      <c r="EZ64" s="692"/>
      <c r="FA64" s="692"/>
      <c r="FB64" s="692"/>
      <c r="FC64" s="692"/>
      <c r="FD64" s="692"/>
      <c r="FE64" s="692"/>
      <c r="FF64" s="692"/>
      <c r="FG64" s="692"/>
      <c r="FH64" s="692"/>
      <c r="FI64" s="692"/>
      <c r="FJ64" s="692"/>
      <c r="FK64" s="692"/>
      <c r="FL64" s="692"/>
      <c r="FM64" s="692"/>
      <c r="FN64" s="692"/>
      <c r="FO64" s="692"/>
      <c r="FP64" s="692"/>
      <c r="FQ64" s="692"/>
      <c r="FR64" s="692"/>
      <c r="FS64" s="692"/>
      <c r="FT64" s="692"/>
      <c r="FU64" s="692"/>
      <c r="FV64" s="692"/>
      <c r="FW64" s="692"/>
      <c r="FX64" s="692"/>
      <c r="FY64" s="692"/>
      <c r="FZ64" s="692"/>
      <c r="GA64" s="692"/>
      <c r="GB64" s="692"/>
      <c r="GC64" s="692"/>
      <c r="GD64" s="692"/>
      <c r="GE64" s="692"/>
      <c r="GF64" s="692"/>
      <c r="GG64" s="692"/>
      <c r="GH64" s="692"/>
      <c r="GI64" s="692"/>
      <c r="GJ64" s="692"/>
      <c r="GK64" s="692"/>
      <c r="GL64" s="692"/>
      <c r="GM64" s="692"/>
      <c r="GN64" s="692"/>
      <c r="GO64" s="692"/>
      <c r="GP64" s="692"/>
      <c r="GQ64" s="692"/>
      <c r="GR64" s="692"/>
      <c r="GS64" s="692"/>
      <c r="GT64" s="692"/>
      <c r="GU64" s="692"/>
      <c r="GV64" s="692"/>
      <c r="GW64" s="692"/>
      <c r="GX64" s="692"/>
      <c r="GY64" s="692"/>
      <c r="GZ64" s="692"/>
      <c r="HA64" s="692"/>
      <c r="HB64" s="692"/>
      <c r="HC64" s="692"/>
      <c r="HD64" s="692"/>
      <c r="HE64" s="692"/>
      <c r="HF64" s="692"/>
      <c r="HG64" s="692"/>
      <c r="HH64" s="692"/>
      <c r="HI64" s="692"/>
      <c r="HJ64" s="692"/>
      <c r="HK64" s="692"/>
      <c r="HL64" s="692"/>
      <c r="HM64" s="692"/>
      <c r="HN64" s="692"/>
      <c r="HO64" s="692"/>
      <c r="HP64" s="692"/>
      <c r="HQ64" s="692"/>
      <c r="HR64" s="692"/>
      <c r="HS64" s="692"/>
      <c r="HT64" s="692"/>
      <c r="HU64" s="692"/>
      <c r="HV64" s="692"/>
      <c r="HW64" s="692"/>
      <c r="HX64" s="692"/>
      <c r="HY64" s="692"/>
      <c r="HZ64" s="692"/>
      <c r="IA64" s="692"/>
      <c r="IB64" s="692"/>
      <c r="IC64" s="692"/>
      <c r="ID64" s="692"/>
      <c r="IE64" s="692"/>
      <c r="IF64" s="692"/>
      <c r="IG64" s="692"/>
      <c r="IH64" s="692"/>
      <c r="II64" s="692"/>
      <c r="IJ64" s="692"/>
      <c r="IK64" s="692"/>
      <c r="IL64" s="692"/>
      <c r="IM64" s="692"/>
      <c r="IN64" s="692"/>
      <c r="IO64" s="692"/>
      <c r="IP64" s="692"/>
      <c r="IQ64" s="692"/>
      <c r="IR64" s="692"/>
      <c r="IS64" s="692"/>
      <c r="IT64" s="692"/>
    </row>
    <row r="65" s="723" customFormat="1"/>
    <row r="66" s="723" customFormat="1"/>
    <row r="67" s="723" customFormat="1"/>
    <row r="68" s="723" customFormat="1"/>
    <row r="69" s="723" customFormat="1"/>
    <row r="70" s="723" customFormat="1"/>
    <row r="71" s="723" customFormat="1"/>
    <row r="72" s="723" customFormat="1"/>
    <row r="73" s="723" customFormat="1"/>
    <row r="74" s="723" customFormat="1"/>
    <row r="75" s="723" customFormat="1"/>
    <row r="76" s="723" customFormat="1"/>
  </sheetData>
  <sheetProtection password="92D1" sheet="1" formatCells="0" formatColumns="0" formatRows="0" selectLockedCells="1"/>
  <mergeCells count="44">
    <mergeCell ref="A9:C9"/>
    <mergeCell ref="D9:G9"/>
    <mergeCell ref="D10:G10"/>
    <mergeCell ref="D7:G7"/>
    <mergeCell ref="A8:C8"/>
    <mergeCell ref="D8:G8"/>
    <mergeCell ref="A10:C10"/>
    <mergeCell ref="A6:C6"/>
    <mergeCell ref="D6:G6"/>
    <mergeCell ref="A7:C7"/>
    <mergeCell ref="A1:J1"/>
    <mergeCell ref="A3:C3"/>
    <mergeCell ref="D3:G3"/>
    <mergeCell ref="A5:C5"/>
    <mergeCell ref="D5:G5"/>
    <mergeCell ref="J25:J26"/>
    <mergeCell ref="J21:J22"/>
    <mergeCell ref="J23:J24"/>
    <mergeCell ref="C23:H24"/>
    <mergeCell ref="A13:C13"/>
    <mergeCell ref="A14:C14"/>
    <mergeCell ref="B21:B22"/>
    <mergeCell ref="C21:I22"/>
    <mergeCell ref="B25:B26"/>
    <mergeCell ref="C25:H26"/>
    <mergeCell ref="B19:B20"/>
    <mergeCell ref="C19:I20"/>
    <mergeCell ref="B23:B24"/>
    <mergeCell ref="A16:J16"/>
    <mergeCell ref="J19:J20"/>
    <mergeCell ref="D49:F49"/>
    <mergeCell ref="A42:J42"/>
    <mergeCell ref="J27:J28"/>
    <mergeCell ref="C29:I30"/>
    <mergeCell ref="D46:F46"/>
    <mergeCell ref="D47:F47"/>
    <mergeCell ref="D48:F48"/>
    <mergeCell ref="A45:J45"/>
    <mergeCell ref="A37:J40"/>
    <mergeCell ref="J29:J30"/>
    <mergeCell ref="A33:J33"/>
    <mergeCell ref="B29:B30"/>
    <mergeCell ref="C27:H28"/>
    <mergeCell ref="B27:B28"/>
  </mergeCells>
  <phoneticPr fontId="0" type="noConversion"/>
  <dataValidations count="4">
    <dataValidation type="list" allowBlank="1" showInputMessage="1" showErrorMessage="1" sqref="B29 B32 B19 B25">
      <formula1>"Select,Yes,No,Partially"</formula1>
    </dataValidation>
    <dataValidation type="list" allowBlank="1" showInputMessage="1" showErrorMessage="1" sqref="B27 B23 B21">
      <formula1>"Select,Yes,No"</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s>
  <printOptions horizontalCentered="1"/>
  <pageMargins left="0.43307086614173229" right="0.35433070866141736" top="0.43307086614173229" bottom="0.55118110236220474" header="0.31496062992125984" footer="0.35433070866141736"/>
  <pageSetup paperSize="9" scale="52" fitToHeight="0" orientation="landscape" r:id="rId1"/>
  <headerFooter alignWithMargins="0">
    <oddFooter>&amp;R&amp;9Page &amp;P of &amp;N</oddFooter>
  </headerFooter>
  <drawing r:id="rId2"/>
  <legacyDrawing r:id="rId3"/>
</worksheet>
</file>

<file path=xl/worksheets/sheet21.xml><?xml version="1.0" encoding="utf-8"?>
<worksheet xmlns="http://schemas.openxmlformats.org/spreadsheetml/2006/main" xmlns:r="http://schemas.openxmlformats.org/officeDocument/2006/relationships">
  <sheetPr enableFormatConditionsCalculation="0">
    <tabColor indexed="40"/>
    <pageSetUpPr fitToPage="1"/>
  </sheetPr>
  <dimension ref="A1:IU37"/>
  <sheetViews>
    <sheetView view="pageBreakPreview" topLeftCell="A14" zoomScale="70" zoomScaleNormal="40" zoomScaleSheetLayoutView="70" zoomScalePageLayoutView="55" workbookViewId="0">
      <selection activeCell="F22" sqref="F22:G22"/>
    </sheetView>
  </sheetViews>
  <sheetFormatPr defaultColWidth="0" defaultRowHeight="12.75"/>
  <cols>
    <col min="1" max="1" width="23.140625" style="72" customWidth="1"/>
    <col min="2" max="2" width="32.28515625" style="72" customWidth="1"/>
    <col min="3" max="3" width="18.7109375" style="72" customWidth="1"/>
    <col min="4" max="4" width="23.140625" style="72" customWidth="1"/>
    <col min="5" max="8" width="18.7109375" style="72" customWidth="1"/>
    <col min="9" max="9" width="23.7109375" style="72" customWidth="1"/>
    <col min="10" max="10" width="12.85546875" style="72" customWidth="1"/>
    <col min="11" max="11" width="30.28515625" style="72" customWidth="1"/>
    <col min="12" max="12" width="4.85546875" style="83" customWidth="1"/>
    <col min="13" max="14" width="18.5703125" style="69" customWidth="1"/>
    <col min="15" max="255" width="0" style="72" hidden="1" customWidth="1"/>
    <col min="256" max="16384" width="9.140625" style="72" hidden="1"/>
  </cols>
  <sheetData>
    <row r="1" spans="1:14" s="3" customFormat="1" ht="25.5" customHeight="1">
      <c r="A1" s="2166" t="s">
        <v>632</v>
      </c>
      <c r="B1" s="2166"/>
      <c r="C1" s="2166"/>
      <c r="D1" s="2166"/>
      <c r="E1" s="2166"/>
      <c r="F1" s="2166"/>
      <c r="G1" s="2166"/>
      <c r="H1" s="2166"/>
      <c r="I1" s="2166"/>
      <c r="J1" s="2166"/>
      <c r="K1" s="2166"/>
      <c r="L1" s="1030"/>
      <c r="M1" s="1030"/>
      <c r="N1" s="1030"/>
    </row>
    <row r="2" spans="1:14" s="13" customFormat="1" ht="27" customHeight="1" thickBot="1">
      <c r="A2" s="98" t="s">
        <v>507</v>
      </c>
      <c r="B2" s="72"/>
      <c r="C2" s="72"/>
      <c r="D2" s="72"/>
      <c r="E2" s="72"/>
      <c r="F2" s="72"/>
      <c r="G2" s="72"/>
      <c r="H2" s="72"/>
      <c r="I2" s="72"/>
      <c r="J2" s="72"/>
      <c r="K2" s="72"/>
      <c r="L2" s="69"/>
      <c r="M2" s="69"/>
      <c r="N2" s="69"/>
    </row>
    <row r="3" spans="1:14" s="4" customFormat="1" ht="18" customHeight="1" thickBot="1">
      <c r="A3" s="1787" t="s">
        <v>422</v>
      </c>
      <c r="B3" s="1788"/>
      <c r="C3" s="2493" t="str">
        <f>IF('LFA_Programmatic Progress_1A'!C7="","",'LFA_Programmatic Progress_1A'!C7)</f>
        <v>BTN-607-G03-H</v>
      </c>
      <c r="D3" s="2494"/>
      <c r="E3" s="2494"/>
      <c r="F3" s="2494"/>
      <c r="G3" s="2494"/>
      <c r="H3" s="2494"/>
      <c r="I3" s="2495"/>
      <c r="J3" s="73"/>
      <c r="K3" s="73"/>
      <c r="L3" s="220"/>
      <c r="M3" s="220"/>
      <c r="N3" s="220"/>
    </row>
    <row r="4" spans="1:14" s="4" customFormat="1" ht="15" customHeight="1">
      <c r="A4" s="492" t="s">
        <v>624</v>
      </c>
      <c r="B4" s="512"/>
      <c r="C4" s="53" t="s">
        <v>630</v>
      </c>
      <c r="D4" s="2145" t="str">
        <f>IF('LFA_Programmatic Progress_1A'!D12="Select","",'LFA_Programmatic Progress_1A'!D12)</f>
        <v>Quarter</v>
      </c>
      <c r="E4" s="2432"/>
      <c r="F4" s="5" t="s">
        <v>631</v>
      </c>
      <c r="G4" s="508"/>
      <c r="H4" s="508"/>
      <c r="I4" s="47">
        <f>IF('LFA_Programmatic Progress_1A'!F12="Select","",'LFA_Programmatic Progress_1A'!F12)</f>
        <v>16</v>
      </c>
      <c r="J4" s="73"/>
      <c r="K4" s="220"/>
      <c r="L4" s="220"/>
      <c r="M4" s="220"/>
      <c r="N4" s="220"/>
    </row>
    <row r="5" spans="1:14" s="4" customFormat="1" ht="15" customHeight="1">
      <c r="A5" s="513" t="s">
        <v>625</v>
      </c>
      <c r="B5" s="40"/>
      <c r="C5" s="54" t="s">
        <v>593</v>
      </c>
      <c r="D5" s="2225">
        <f>IF('LFA_Programmatic Progress_1A'!D13="","",'LFA_Programmatic Progress_1A'!D13)</f>
        <v>40848</v>
      </c>
      <c r="E5" s="2433"/>
      <c r="F5" s="5" t="s">
        <v>611</v>
      </c>
      <c r="G5" s="509"/>
      <c r="H5" s="509"/>
      <c r="I5" s="520">
        <f>IF('LFA_Programmatic Progress_1A'!F13="","",'LFA_Programmatic Progress_1A'!F13)</f>
        <v>40939</v>
      </c>
      <c r="J5" s="73"/>
      <c r="K5" s="221"/>
      <c r="L5" s="220"/>
      <c r="M5" s="220"/>
      <c r="N5" s="220"/>
    </row>
    <row r="6" spans="1:14" s="4" customFormat="1" ht="15" customHeight="1" thickBot="1">
      <c r="A6" s="55" t="s">
        <v>626</v>
      </c>
      <c r="B6" s="41"/>
      <c r="C6" s="1830">
        <f>IF('LFA_Programmatic Progress_1A'!C14="Select","",'LFA_Programmatic Progress_1A'!C14)</f>
        <v>16</v>
      </c>
      <c r="D6" s="1831"/>
      <c r="E6" s="1831"/>
      <c r="F6" s="1831"/>
      <c r="G6" s="1831"/>
      <c r="H6" s="1831"/>
      <c r="I6" s="1832"/>
      <c r="J6" s="73"/>
      <c r="K6" s="73"/>
      <c r="L6" s="220"/>
      <c r="M6" s="220"/>
      <c r="N6" s="220"/>
    </row>
    <row r="7" spans="1:14" s="3" customFormat="1" ht="16.5" customHeight="1">
      <c r="A7" s="70"/>
      <c r="B7" s="70"/>
      <c r="C7" s="70"/>
      <c r="D7" s="70"/>
      <c r="E7" s="70"/>
      <c r="F7" s="70"/>
      <c r="G7" s="70"/>
      <c r="H7" s="70"/>
      <c r="I7" s="70"/>
      <c r="J7" s="71"/>
      <c r="K7" s="69"/>
      <c r="L7" s="69"/>
      <c r="M7" s="69"/>
      <c r="N7" s="69"/>
    </row>
    <row r="8" spans="1:14" s="17" customFormat="1" ht="20.25" customHeight="1">
      <c r="A8" s="1273" t="s">
        <v>230</v>
      </c>
      <c r="B8" s="1274"/>
      <c r="C8" s="1274"/>
      <c r="D8" s="1275"/>
      <c r="E8" s="77"/>
      <c r="F8" s="77"/>
      <c r="G8" s="77"/>
      <c r="H8" s="77"/>
      <c r="I8" s="77"/>
      <c r="J8" s="77"/>
      <c r="K8" s="77"/>
      <c r="L8" s="77"/>
      <c r="M8" s="77"/>
      <c r="N8" s="77"/>
    </row>
    <row r="9" spans="1:14" s="74" customFormat="1" ht="15" customHeight="1">
      <c r="A9" s="765"/>
      <c r="B9" s="766"/>
      <c r="C9" s="766"/>
      <c r="D9" s="766"/>
      <c r="E9" s="1213"/>
      <c r="F9" s="1213"/>
      <c r="G9" s="1213"/>
      <c r="H9" s="1213"/>
      <c r="I9" s="1213"/>
      <c r="J9" s="1213"/>
      <c r="K9" s="1214"/>
      <c r="L9" s="77"/>
      <c r="M9" s="77"/>
      <c r="N9" s="77"/>
    </row>
    <row r="10" spans="1:14" s="74" customFormat="1" ht="13.5" customHeight="1" thickBot="1">
      <c r="A10" s="767"/>
      <c r="B10" s="768"/>
      <c r="C10" s="363"/>
      <c r="D10" s="363"/>
      <c r="E10" s="363"/>
      <c r="F10" s="363"/>
      <c r="G10" s="363"/>
      <c r="H10" s="363"/>
      <c r="I10" s="363"/>
      <c r="J10" s="363"/>
      <c r="K10" s="1028"/>
      <c r="L10" s="361"/>
      <c r="M10" s="14"/>
      <c r="N10" s="82"/>
    </row>
    <row r="11" spans="1:14" s="13" customFormat="1" ht="22.5" customHeight="1" thickBot="1">
      <c r="A11" s="226"/>
      <c r="B11" s="227"/>
      <c r="C11" s="615" t="s">
        <v>584</v>
      </c>
      <c r="D11" s="616" t="s">
        <v>585</v>
      </c>
      <c r="E11" s="2527" t="s">
        <v>359</v>
      </c>
      <c r="F11" s="2528"/>
      <c r="G11" s="2528"/>
      <c r="H11" s="2528"/>
      <c r="I11" s="2529"/>
      <c r="J11" s="2529"/>
      <c r="K11" s="2530"/>
      <c r="L11" s="14"/>
      <c r="M11" s="14"/>
      <c r="N11" s="14"/>
    </row>
    <row r="12" spans="1:14" s="13" customFormat="1" ht="135" customHeight="1" thickBot="1">
      <c r="A12" s="2535" t="s">
        <v>244</v>
      </c>
      <c r="B12" s="2536"/>
      <c r="C12" s="1349" t="str">
        <f>'PR_Procurement Info_4'!F10</f>
        <v>No</v>
      </c>
      <c r="D12" s="1336" t="s">
        <v>366</v>
      </c>
      <c r="E12" s="2542" t="s">
        <v>1158</v>
      </c>
      <c r="F12" s="2543"/>
      <c r="G12" s="2543"/>
      <c r="H12" s="2543"/>
      <c r="I12" s="2544"/>
      <c r="J12" s="2544"/>
      <c r="K12" s="2545"/>
      <c r="L12" s="14"/>
      <c r="M12" s="14"/>
      <c r="N12" s="14"/>
    </row>
    <row r="13" spans="1:14" s="612" customFormat="1" ht="12" customHeight="1">
      <c r="A13" s="229"/>
      <c r="B13" s="617"/>
      <c r="C13" s="618"/>
      <c r="D13" s="230"/>
      <c r="E13" s="619"/>
      <c r="F13" s="619"/>
      <c r="G13" s="620"/>
      <c r="H13" s="621"/>
      <c r="I13" s="622"/>
      <c r="J13" s="622"/>
      <c r="K13" s="1035"/>
      <c r="L13" s="992"/>
      <c r="M13" s="992"/>
      <c r="N13" s="992"/>
    </row>
    <row r="14" spans="1:14" s="535" customFormat="1" ht="22.5" customHeight="1">
      <c r="A14" s="2537" t="s">
        <v>227</v>
      </c>
      <c r="B14" s="2538"/>
      <c r="C14" s="2538"/>
      <c r="D14" s="2538"/>
      <c r="E14" s="623"/>
      <c r="F14" s="624"/>
      <c r="G14" s="624"/>
      <c r="H14" s="228"/>
      <c r="I14" s="625"/>
      <c r="J14" s="228"/>
      <c r="K14" s="1036"/>
      <c r="L14" s="627"/>
      <c r="M14" s="992"/>
      <c r="N14" s="992"/>
    </row>
    <row r="15" spans="1:14" s="535" customFormat="1" ht="44.25" customHeight="1" thickBot="1">
      <c r="A15" s="2539" t="s">
        <v>347</v>
      </c>
      <c r="B15" s="2540"/>
      <c r="C15" s="2540"/>
      <c r="D15" s="2540"/>
      <c r="E15" s="2540"/>
      <c r="F15" s="2540"/>
      <c r="G15" s="2540"/>
      <c r="H15" s="2540"/>
      <c r="I15" s="2540"/>
      <c r="J15" s="2540"/>
      <c r="K15" s="2541"/>
      <c r="L15" s="627"/>
      <c r="M15" s="992"/>
      <c r="N15" s="992"/>
    </row>
    <row r="16" spans="1:14" s="91" customFormat="1" ht="22.5" customHeight="1" thickBot="1">
      <c r="A16" s="2531" t="s">
        <v>586</v>
      </c>
      <c r="B16" s="2532"/>
      <c r="C16" s="630"/>
      <c r="D16" s="626"/>
      <c r="E16" s="626"/>
      <c r="F16" s="626"/>
      <c r="G16" s="626"/>
      <c r="H16" s="14"/>
      <c r="I16" s="551"/>
      <c r="J16" s="14"/>
      <c r="K16" s="627"/>
      <c r="L16" s="627"/>
      <c r="M16" s="992"/>
      <c r="N16" s="992"/>
    </row>
    <row r="17" spans="1:14" s="37" customFormat="1" ht="113.25" customHeight="1" thickBot="1">
      <c r="A17" s="2527" t="s">
        <v>587</v>
      </c>
      <c r="B17" s="2533"/>
      <c r="C17" s="1313" t="s">
        <v>245</v>
      </c>
      <c r="D17" s="1313" t="s">
        <v>327</v>
      </c>
      <c r="E17" s="1276" t="s">
        <v>599</v>
      </c>
      <c r="F17" s="2533" t="s">
        <v>600</v>
      </c>
      <c r="G17" s="2534"/>
      <c r="H17" s="1313" t="s">
        <v>246</v>
      </c>
      <c r="I17" s="1313" t="s">
        <v>247</v>
      </c>
      <c r="J17" s="1313" t="s">
        <v>599</v>
      </c>
      <c r="K17" s="1337" t="s">
        <v>600</v>
      </c>
      <c r="L17" s="14"/>
      <c r="M17" s="14"/>
      <c r="N17" s="14"/>
    </row>
    <row r="18" spans="1:14" s="628" customFormat="1" ht="47.25" customHeight="1">
      <c r="A18" s="2523" t="s">
        <v>360</v>
      </c>
      <c r="B18" s="2524"/>
      <c r="C18" s="631"/>
      <c r="D18" s="631"/>
      <c r="E18" s="399" t="str">
        <f t="shared" ref="E18:E23" si="0">IF(C18="",IF(D18="","",C18-D18),C18-D18)</f>
        <v/>
      </c>
      <c r="F18" s="2525"/>
      <c r="G18" s="2526"/>
      <c r="H18" s="631"/>
      <c r="I18" s="631"/>
      <c r="J18" s="399" t="str">
        <f t="shared" ref="J18:J23" si="1">IF(H18="",IF(I18="","",H18-I18),H18-I18)</f>
        <v/>
      </c>
      <c r="K18" s="1338"/>
      <c r="L18" s="993"/>
      <c r="M18" s="993"/>
      <c r="N18" s="993"/>
    </row>
    <row r="19" spans="1:14" s="3" customFormat="1" ht="47.25" customHeight="1">
      <c r="A19" s="2502" t="s">
        <v>376</v>
      </c>
      <c r="B19" s="2503"/>
      <c r="C19" s="632"/>
      <c r="D19" s="632"/>
      <c r="E19" s="188" t="str">
        <f t="shared" si="0"/>
        <v/>
      </c>
      <c r="F19" s="2500"/>
      <c r="G19" s="2501"/>
      <c r="H19" s="632"/>
      <c r="I19" s="632"/>
      <c r="J19" s="188" t="str">
        <f t="shared" si="1"/>
        <v/>
      </c>
      <c r="K19" s="1339"/>
      <c r="L19" s="83"/>
      <c r="M19" s="69"/>
      <c r="N19" s="69"/>
    </row>
    <row r="20" spans="1:14" s="75" customFormat="1" ht="47.25" customHeight="1">
      <c r="A20" s="2502" t="s">
        <v>361</v>
      </c>
      <c r="B20" s="2503"/>
      <c r="C20" s="632"/>
      <c r="D20" s="632"/>
      <c r="E20" s="188" t="str">
        <f t="shared" si="0"/>
        <v/>
      </c>
      <c r="F20" s="2500"/>
      <c r="G20" s="2501"/>
      <c r="H20" s="632"/>
      <c r="I20" s="632"/>
      <c r="J20" s="188" t="str">
        <f t="shared" si="1"/>
        <v/>
      </c>
      <c r="K20" s="1340"/>
      <c r="L20" s="1034"/>
      <c r="M20" s="88"/>
      <c r="N20" s="88"/>
    </row>
    <row r="21" spans="1:14" s="75" customFormat="1" ht="47.25" customHeight="1">
      <c r="A21" s="2502" t="s">
        <v>362</v>
      </c>
      <c r="B21" s="2503"/>
      <c r="C21" s="632"/>
      <c r="D21" s="632"/>
      <c r="E21" s="188" t="str">
        <f t="shared" si="0"/>
        <v/>
      </c>
      <c r="F21" s="2500"/>
      <c r="G21" s="2501"/>
      <c r="H21" s="632"/>
      <c r="I21" s="632"/>
      <c r="J21" s="188" t="str">
        <f t="shared" si="1"/>
        <v/>
      </c>
      <c r="K21" s="1340"/>
      <c r="L21" s="1034"/>
      <c r="M21" s="88"/>
      <c r="N21" s="88"/>
    </row>
    <row r="22" spans="1:14" s="75" customFormat="1" ht="47.25" customHeight="1">
      <c r="A22" s="2502" t="s">
        <v>363</v>
      </c>
      <c r="B22" s="2503"/>
      <c r="C22" s="632"/>
      <c r="D22" s="632"/>
      <c r="E22" s="188" t="str">
        <f t="shared" si="0"/>
        <v/>
      </c>
      <c r="F22" s="2500"/>
      <c r="G22" s="2501"/>
      <c r="H22" s="632"/>
      <c r="I22" s="632"/>
      <c r="J22" s="188" t="str">
        <f t="shared" si="1"/>
        <v/>
      </c>
      <c r="K22" s="1340"/>
      <c r="L22" s="1034"/>
      <c r="M22" s="88"/>
      <c r="N22" s="88"/>
    </row>
    <row r="23" spans="1:14" s="75" customFormat="1" ht="47.25" customHeight="1" thickBot="1">
      <c r="A23" s="2521" t="s">
        <v>364</v>
      </c>
      <c r="B23" s="2522"/>
      <c r="C23" s="633"/>
      <c r="D23" s="633"/>
      <c r="E23" s="392" t="str">
        <f t="shared" si="0"/>
        <v/>
      </c>
      <c r="F23" s="2519"/>
      <c r="G23" s="2520"/>
      <c r="H23" s="633"/>
      <c r="I23" s="633"/>
      <c r="J23" s="392" t="str">
        <f t="shared" si="1"/>
        <v/>
      </c>
      <c r="K23" s="1341"/>
      <c r="L23" s="1034"/>
      <c r="M23" s="88"/>
      <c r="N23" s="88"/>
    </row>
    <row r="24" spans="1:14" s="75" customFormat="1" ht="47.25" customHeight="1" thickBot="1">
      <c r="A24" s="2496" t="s">
        <v>185</v>
      </c>
      <c r="B24" s="2497"/>
      <c r="C24" s="898">
        <f>SUM(C18:C23)</f>
        <v>0</v>
      </c>
      <c r="D24" s="898">
        <f>SUM(D18:D23)</f>
        <v>0</v>
      </c>
      <c r="E24" s="897">
        <f>SUM(E18:E23)</f>
        <v>0</v>
      </c>
      <c r="F24" s="2498"/>
      <c r="G24" s="2499"/>
      <c r="H24" s="898">
        <f>SUM(H18:H23)</f>
        <v>0</v>
      </c>
      <c r="I24" s="898">
        <f>SUM(I18:I23)</f>
        <v>0</v>
      </c>
      <c r="J24" s="897">
        <f>SUM(J18:J23)</f>
        <v>0</v>
      </c>
      <c r="K24" s="1342"/>
      <c r="L24" s="1034"/>
      <c r="M24" s="88"/>
      <c r="N24" s="88"/>
    </row>
    <row r="25" spans="1:14" s="75" customFormat="1" ht="32.25" customHeight="1">
      <c r="A25" s="1350"/>
      <c r="B25" s="1350"/>
      <c r="C25" s="1351"/>
      <c r="D25" s="1351"/>
      <c r="E25" s="1351"/>
      <c r="F25" s="1352"/>
      <c r="G25" s="1353"/>
      <c r="H25" s="1351"/>
      <c r="I25" s="1351"/>
      <c r="J25" s="1351"/>
      <c r="K25" s="1352"/>
      <c r="L25" s="1034"/>
      <c r="M25" s="88"/>
      <c r="N25" s="88"/>
    </row>
    <row r="26" spans="1:14" s="75" customFormat="1" ht="28.5" customHeight="1" thickBot="1">
      <c r="A26" s="474"/>
      <c r="B26" s="474"/>
      <c r="C26" s="1351"/>
      <c r="D26" s="1351"/>
      <c r="E26" s="1351"/>
      <c r="F26" s="1352"/>
      <c r="G26" s="1354"/>
      <c r="H26" s="1351"/>
      <c r="I26" s="1351"/>
      <c r="J26" s="1351"/>
      <c r="K26" s="1352"/>
      <c r="L26" s="1034"/>
      <c r="M26" s="88"/>
      <c r="N26" s="88"/>
    </row>
    <row r="27" spans="1:14" s="535" customFormat="1" ht="171.75" customHeight="1" thickBot="1">
      <c r="A27" s="2507" t="s">
        <v>228</v>
      </c>
      <c r="B27" s="2508"/>
      <c r="C27" s="1355" t="str">
        <f>'PR_Procurement Info_4'!F11</f>
        <v>No</v>
      </c>
      <c r="D27" s="1356" t="s">
        <v>667</v>
      </c>
      <c r="E27" s="2509" t="s">
        <v>1159</v>
      </c>
      <c r="F27" s="2510"/>
      <c r="G27" s="2510"/>
      <c r="H27" s="2510"/>
      <c r="I27" s="2511"/>
      <c r="J27" s="2511"/>
      <c r="K27" s="2512"/>
      <c r="L27" s="992"/>
      <c r="M27" s="992"/>
      <c r="N27" s="992"/>
    </row>
    <row r="28" spans="1:14" s="75" customFormat="1" ht="24.75" customHeight="1" thickBot="1">
      <c r="A28" s="229"/>
      <c r="B28" s="629"/>
      <c r="C28" s="629"/>
      <c r="D28" s="629"/>
      <c r="E28" s="629"/>
      <c r="F28" s="618"/>
      <c r="G28" s="231"/>
      <c r="H28" s="380"/>
      <c r="I28" s="381"/>
      <c r="J28" s="381"/>
      <c r="K28" s="1037"/>
      <c r="L28" s="1034"/>
      <c r="M28" s="88"/>
      <c r="N28" s="88"/>
    </row>
    <row r="29" spans="1:14" s="75" customFormat="1" ht="38.25" customHeight="1">
      <c r="A29" s="1851" t="s">
        <v>229</v>
      </c>
      <c r="B29" s="2513"/>
      <c r="C29" s="2513"/>
      <c r="D29" s="2513"/>
      <c r="E29" s="2514"/>
      <c r="F29" s="1874" t="s">
        <v>165</v>
      </c>
      <c r="G29" s="1878"/>
      <c r="H29" s="1878"/>
      <c r="I29" s="1878"/>
      <c r="J29" s="1878"/>
      <c r="K29" s="2518"/>
      <c r="L29" s="1034"/>
      <c r="M29" s="88"/>
      <c r="N29" s="88"/>
    </row>
    <row r="30" spans="1:14" s="75" customFormat="1" ht="159.75" customHeight="1" thickBot="1">
      <c r="A30" s="2504" t="str">
        <f>IF('PR_Procurement Info_4'!A14:J14="","",'PR_Procurement Info_4'!A14:J14)</f>
        <v>Due limited staffs in DVED to deal with the procurement of drugs and also with the stringetn rules on drugs procurement of Drug Regulatory Authrity there has been stock out of some of the drugs. But this has not affedted the drugs supply of ARV DRUGS. There is alsoc a need to build the capacity of the staffs in DVED especailly on Global Fund Procurement policies and on the PQR updating.</v>
      </c>
      <c r="B30" s="2505"/>
      <c r="C30" s="2505"/>
      <c r="D30" s="2505"/>
      <c r="E30" s="2506"/>
      <c r="F30" s="2515" t="s">
        <v>1140</v>
      </c>
      <c r="G30" s="2516"/>
      <c r="H30" s="2516"/>
      <c r="I30" s="2516"/>
      <c r="J30" s="2516"/>
      <c r="K30" s="2517"/>
      <c r="L30" s="1034"/>
      <c r="M30" s="88"/>
      <c r="N30" s="88"/>
    </row>
    <row r="31" spans="1:14" s="88" customFormat="1" ht="14.25">
      <c r="A31" s="69"/>
      <c r="B31" s="69"/>
      <c r="C31" s="69"/>
      <c r="D31" s="69"/>
      <c r="E31" s="69"/>
      <c r="F31" s="69"/>
      <c r="G31" s="69"/>
      <c r="H31" s="69"/>
      <c r="I31" s="69"/>
      <c r="J31" s="69"/>
      <c r="K31" s="69"/>
      <c r="L31" s="1034"/>
    </row>
    <row r="32" spans="1:14" s="88" customFormat="1" ht="14.25">
      <c r="L32" s="1034"/>
    </row>
    <row r="33" spans="12:12" s="88" customFormat="1" ht="14.25">
      <c r="L33" s="1034"/>
    </row>
    <row r="34" spans="12:12" s="88" customFormat="1" ht="14.25">
      <c r="L34" s="1034"/>
    </row>
    <row r="35" spans="12:12" s="88" customFormat="1" ht="14.25">
      <c r="L35" s="1034"/>
    </row>
    <row r="36" spans="12:12" s="69" customFormat="1">
      <c r="L36" s="83"/>
    </row>
    <row r="37" spans="12:12" s="69" customFormat="1">
      <c r="L37" s="83"/>
    </row>
  </sheetData>
  <sheetProtection password="92D1" sheet="1" formatCells="0" formatColumns="0" formatRows="0" selectLockedCells="1"/>
  <mergeCells count="34">
    <mergeCell ref="C6:I6"/>
    <mergeCell ref="F23:G23"/>
    <mergeCell ref="A23:B23"/>
    <mergeCell ref="F19:G19"/>
    <mergeCell ref="A18:B18"/>
    <mergeCell ref="F18:G18"/>
    <mergeCell ref="E11:K11"/>
    <mergeCell ref="A16:B16"/>
    <mergeCell ref="A17:B17"/>
    <mergeCell ref="A20:B20"/>
    <mergeCell ref="F17:G17"/>
    <mergeCell ref="A12:B12"/>
    <mergeCell ref="A14:D14"/>
    <mergeCell ref="A15:K15"/>
    <mergeCell ref="E12:K12"/>
    <mergeCell ref="A19:B19"/>
    <mergeCell ref="A30:E30"/>
    <mergeCell ref="A27:B27"/>
    <mergeCell ref="E27:K27"/>
    <mergeCell ref="A29:E29"/>
    <mergeCell ref="F30:K30"/>
    <mergeCell ref="F29:K29"/>
    <mergeCell ref="A24:B24"/>
    <mergeCell ref="F24:G24"/>
    <mergeCell ref="F21:G21"/>
    <mergeCell ref="A22:B22"/>
    <mergeCell ref="F20:G20"/>
    <mergeCell ref="F22:G22"/>
    <mergeCell ref="A21:B21"/>
    <mergeCell ref="A1:K1"/>
    <mergeCell ref="A3:B3"/>
    <mergeCell ref="C3:I3"/>
    <mergeCell ref="D4:E4"/>
    <mergeCell ref="D5:E5"/>
  </mergeCells>
  <phoneticPr fontId="37" type="noConversion"/>
  <conditionalFormatting sqref="F20:G22 F23 E17:F17 F18:F19 K18:K23 C18:D23 C10:L10 H18:I23 H26:I26 C26:D26 K26 F26">
    <cfRule type="cellIs" dxfId="15" priority="5" stopIfTrue="1" operator="lessThan">
      <formula>0</formula>
    </cfRule>
  </conditionalFormatting>
  <conditionalFormatting sqref="F20:G22 F23 J17 E17:F17 K18:K23 F18:F19 C10:E10 H10:L10 H18:I23 H26:I26 K26 F26">
    <cfRule type="cellIs" dxfId="14" priority="6" stopIfTrue="1" operator="lessThan">
      <formula>0</formula>
    </cfRule>
  </conditionalFormatting>
  <conditionalFormatting sqref="F24:F25 K24:K25 C24:D25 H24:I25">
    <cfRule type="cellIs" dxfId="13" priority="1" stopIfTrue="1" operator="lessThan">
      <formula>0</formula>
    </cfRule>
  </conditionalFormatting>
  <conditionalFormatting sqref="F24:F25 K24:K25 H24:I25">
    <cfRule type="cellIs" dxfId="12" priority="2" stopIfTrue="1" operator="lessThan">
      <formula>0</formula>
    </cfRule>
  </conditionalFormatting>
  <dataValidations count="2">
    <dataValidation type="list" allowBlank="1" showInputMessage="1" showErrorMessage="1" sqref="F28 F13:G13 C13 D12 D27">
      <formula1>"Select,Yes,No,N/A"</formula1>
    </dataValidation>
    <dataValidation type="list" allowBlank="1" showInputMessage="1" showErrorMessage="1" sqref="I14 I16">
      <formula1>"Select,Yes,No,Partially,N/A"</formula1>
    </dataValidation>
  </dataValidations>
  <printOptions horizontalCentered="1"/>
  <pageMargins left="0.74803149606299213" right="0.74803149606299213" top="0.19685039370078741" bottom="0.35433070866141736" header="0.15748031496062992" footer="0.15748031496062992"/>
  <pageSetup paperSize="9" scale="55" fitToHeight="0" orientation="landscape" cellComments="asDisplayed" r:id="rId1"/>
  <headerFooter alignWithMargins="0">
    <oddFooter>&amp;L&amp;9&amp;F&amp;C&amp;A&amp;R&amp;9Page &amp;P of &amp;N</oddFooter>
  </headerFooter>
</worksheet>
</file>

<file path=xl/worksheets/sheet22.xml><?xml version="1.0" encoding="utf-8"?>
<worksheet xmlns="http://schemas.openxmlformats.org/spreadsheetml/2006/main" xmlns:r="http://schemas.openxmlformats.org/officeDocument/2006/relationships">
  <sheetPr>
    <tabColor indexed="40"/>
    <pageSetUpPr fitToPage="1"/>
  </sheetPr>
  <dimension ref="A1:U29"/>
  <sheetViews>
    <sheetView view="pageBreakPreview" topLeftCell="A7" zoomScale="60" zoomScaleNormal="70" zoomScalePageLayoutView="55" workbookViewId="0">
      <selection activeCell="G18" sqref="G18"/>
    </sheetView>
  </sheetViews>
  <sheetFormatPr defaultRowHeight="12.75"/>
  <cols>
    <col min="1" max="1" width="15.42578125" style="69" customWidth="1"/>
    <col min="2" max="2" width="33.140625" style="69" customWidth="1"/>
    <col min="3" max="3" width="25" style="69" customWidth="1"/>
    <col min="4" max="4" width="22.28515625" style="69" customWidth="1"/>
    <col min="5" max="5" width="26.28515625" style="69" customWidth="1"/>
    <col min="6" max="6" width="21.7109375" style="69" customWidth="1"/>
    <col min="7" max="7" width="27.5703125" style="69" customWidth="1"/>
    <col min="8" max="8" width="18.5703125" style="69" customWidth="1"/>
    <col min="9" max="9" width="16.42578125" style="69" customWidth="1"/>
    <col min="10" max="10" width="63" style="1042" customWidth="1"/>
    <col min="11" max="11" width="2.7109375" style="69" customWidth="1"/>
    <col min="12" max="12" width="10" style="69" customWidth="1"/>
    <col min="13" max="16384" width="9.140625" style="69"/>
  </cols>
  <sheetData>
    <row r="1" spans="1:21" ht="23.25" customHeight="1">
      <c r="A1" s="2166" t="s">
        <v>632</v>
      </c>
      <c r="B1" s="2166"/>
      <c r="C1" s="2166"/>
      <c r="D1" s="2166"/>
      <c r="E1" s="2166"/>
      <c r="F1" s="2166"/>
      <c r="G1" s="2166"/>
      <c r="H1" s="2166"/>
      <c r="I1" s="2166"/>
      <c r="J1" s="2166"/>
    </row>
    <row r="2" spans="1:21" ht="18" customHeight="1" thickBot="1">
      <c r="A2" s="98" t="s">
        <v>508</v>
      </c>
      <c r="B2" s="72"/>
      <c r="C2" s="72"/>
      <c r="D2" s="72"/>
      <c r="E2" s="72"/>
      <c r="F2" s="72"/>
      <c r="G2" s="72"/>
      <c r="H2" s="72"/>
      <c r="I2" s="72"/>
      <c r="J2" s="453"/>
    </row>
    <row r="3" spans="1:21" s="220" customFormat="1" ht="27.75" customHeight="1" thickBot="1">
      <c r="A3" s="1787" t="s">
        <v>422</v>
      </c>
      <c r="B3" s="1788"/>
      <c r="C3" s="1817" t="str">
        <f>IF('LFA_Programmatic Progress_1A'!C7="","",'LFA_Programmatic Progress_1A'!C7)</f>
        <v>BTN-607-G03-H</v>
      </c>
      <c r="D3" s="1818"/>
      <c r="E3" s="1818"/>
      <c r="F3" s="1819"/>
      <c r="G3" s="73"/>
      <c r="H3" s="73"/>
      <c r="I3" s="73"/>
      <c r="J3" s="452"/>
    </row>
    <row r="4" spans="1:21" s="220" customFormat="1" ht="15" customHeight="1">
      <c r="A4" s="492" t="s">
        <v>624</v>
      </c>
      <c r="B4" s="512"/>
      <c r="C4" s="53" t="s">
        <v>630</v>
      </c>
      <c r="D4" s="504" t="str">
        <f>IF('LFA_Programmatic Progress_1A'!D12="Select","",'LFA_Programmatic Progress_1A'!D12)</f>
        <v>Quarter</v>
      </c>
      <c r="E4" s="5" t="s">
        <v>631</v>
      </c>
      <c r="F4" s="47">
        <f>IF('LFA_Programmatic Progress_1A'!F12="Select","",'LFA_Programmatic Progress_1A'!F12)</f>
        <v>16</v>
      </c>
      <c r="G4" s="73"/>
      <c r="H4" s="73"/>
      <c r="I4" s="73"/>
      <c r="J4" s="452"/>
    </row>
    <row r="5" spans="1:21" s="220" customFormat="1" ht="15" customHeight="1">
      <c r="A5" s="513" t="s">
        <v>625</v>
      </c>
      <c r="B5" s="40"/>
      <c r="C5" s="54" t="s">
        <v>593</v>
      </c>
      <c r="D5" s="519">
        <f>IF('LFA_Programmatic Progress_1A'!D13="","",'LFA_Programmatic Progress_1A'!D13)</f>
        <v>40848</v>
      </c>
      <c r="E5" s="5" t="s">
        <v>611</v>
      </c>
      <c r="F5" s="520">
        <f>IF('LFA_Programmatic Progress_1A'!F13="","",'LFA_Programmatic Progress_1A'!F13)</f>
        <v>40939</v>
      </c>
      <c r="G5" s="73"/>
      <c r="H5" s="73"/>
      <c r="I5" s="73"/>
      <c r="J5" s="452"/>
    </row>
    <row r="6" spans="1:21" s="220" customFormat="1" ht="15" customHeight="1" thickBot="1">
      <c r="A6" s="55" t="s">
        <v>626</v>
      </c>
      <c r="B6" s="41"/>
      <c r="C6" s="1830">
        <f>IF('LFA_Programmatic Progress_1A'!C14="Select","",'LFA_Programmatic Progress_1A'!C14)</f>
        <v>16</v>
      </c>
      <c r="D6" s="1831"/>
      <c r="E6" s="1831"/>
      <c r="F6" s="1832"/>
      <c r="G6" s="73"/>
      <c r="H6" s="73"/>
      <c r="I6" s="73"/>
      <c r="J6" s="452"/>
    </row>
    <row r="7" spans="1:21">
      <c r="A7" s="72"/>
      <c r="B7" s="72"/>
      <c r="C7" s="72"/>
      <c r="D7" s="72"/>
      <c r="E7" s="72"/>
      <c r="F7" s="72"/>
      <c r="G7" s="72"/>
      <c r="H7" s="72"/>
      <c r="I7" s="72"/>
      <c r="J7" s="453"/>
    </row>
    <row r="8" spans="1:21" ht="15">
      <c r="A8" s="232"/>
      <c r="B8" s="232"/>
      <c r="C8" s="232"/>
      <c r="D8" s="1215"/>
      <c r="E8" s="1215"/>
      <c r="F8" s="1215"/>
      <c r="G8" s="1216"/>
      <c r="H8" s="1216"/>
      <c r="I8" s="634"/>
      <c r="J8" s="1217"/>
    </row>
    <row r="9" spans="1:21" ht="20.25">
      <c r="A9" s="1277" t="s">
        <v>231</v>
      </c>
      <c r="B9" s="1278"/>
      <c r="C9" s="1279"/>
      <c r="D9" s="70"/>
      <c r="E9" s="70"/>
      <c r="F9" s="71"/>
      <c r="G9" s="70"/>
      <c r="H9" s="70"/>
    </row>
    <row r="10" spans="1:21" ht="9" customHeight="1">
      <c r="A10" s="218"/>
      <c r="B10" s="218"/>
      <c r="C10" s="218"/>
      <c r="D10" s="1218"/>
      <c r="E10" s="1218"/>
      <c r="F10" s="1218"/>
      <c r="G10" s="1218"/>
      <c r="H10" s="1218"/>
      <c r="I10" s="1218"/>
      <c r="J10" s="1219"/>
      <c r="K10" s="77"/>
      <c r="L10" s="754"/>
      <c r="M10" s="754"/>
      <c r="N10" s="754"/>
      <c r="O10" s="754"/>
      <c r="P10" s="754"/>
      <c r="Q10" s="754"/>
      <c r="R10" s="754"/>
      <c r="S10" s="754"/>
      <c r="T10" s="754"/>
      <c r="U10" s="754"/>
    </row>
    <row r="11" spans="1:21" ht="69" customHeight="1">
      <c r="A11" s="2548" t="s">
        <v>332</v>
      </c>
      <c r="B11" s="2549"/>
      <c r="C11" s="2549"/>
      <c r="D11" s="2549"/>
      <c r="E11" s="2549"/>
      <c r="F11" s="2549"/>
      <c r="G11" s="2549"/>
      <c r="H11" s="2549"/>
      <c r="I11" s="2549"/>
      <c r="J11" s="2549"/>
      <c r="K11" s="1039"/>
      <c r="L11" s="754"/>
      <c r="M11" s="754"/>
      <c r="N11" s="754"/>
      <c r="O11" s="754"/>
      <c r="P11" s="754"/>
      <c r="Q11" s="754"/>
      <c r="R11" s="754"/>
      <c r="S11" s="754"/>
      <c r="T11" s="754"/>
      <c r="U11" s="754"/>
    </row>
    <row r="12" spans="1:21" ht="9.75" customHeight="1" thickBot="1">
      <c r="A12" s="634"/>
      <c r="B12" s="634"/>
      <c r="C12" s="634"/>
      <c r="D12" s="634"/>
      <c r="E12" s="634"/>
      <c r="F12" s="634"/>
      <c r="G12" s="634"/>
      <c r="H12" s="634"/>
      <c r="I12" s="634"/>
      <c r="J12" s="1038"/>
      <c r="M12" s="754"/>
      <c r="N12" s="754"/>
      <c r="O12" s="754"/>
      <c r="P12" s="754"/>
      <c r="Q12" s="754"/>
      <c r="R12" s="754"/>
    </row>
    <row r="13" spans="1:21" ht="45" customHeight="1" thickBot="1">
      <c r="A13" s="2546" t="s">
        <v>150</v>
      </c>
      <c r="B13" s="2547"/>
      <c r="C13" s="2546" t="s">
        <v>352</v>
      </c>
      <c r="D13" s="2546"/>
      <c r="E13" s="2546"/>
      <c r="F13" s="2546" t="s">
        <v>353</v>
      </c>
      <c r="G13" s="2546"/>
      <c r="H13" s="2546"/>
      <c r="I13" s="2546"/>
      <c r="J13" s="1301" t="s">
        <v>541</v>
      </c>
      <c r="K13" s="220"/>
      <c r="L13" s="754"/>
      <c r="M13" s="754"/>
      <c r="N13" s="754"/>
      <c r="O13" s="754"/>
      <c r="P13" s="754"/>
      <c r="Q13" s="14"/>
      <c r="R13" s="14"/>
      <c r="S13" s="14"/>
    </row>
    <row r="14" spans="1:21" ht="76.5" customHeight="1">
      <c r="A14" s="2555" t="s">
        <v>367</v>
      </c>
      <c r="B14" s="2556"/>
      <c r="C14" s="2557" t="s">
        <v>774</v>
      </c>
      <c r="D14" s="2558"/>
      <c r="E14" s="2559"/>
      <c r="F14" s="2557" t="s">
        <v>1160</v>
      </c>
      <c r="G14" s="2558"/>
      <c r="H14" s="2558"/>
      <c r="I14" s="2559"/>
      <c r="J14" s="1302"/>
      <c r="K14" s="754"/>
      <c r="L14" s="754"/>
      <c r="M14" s="754"/>
      <c r="N14" s="754"/>
      <c r="O14" s="754"/>
    </row>
    <row r="15" spans="1:21" ht="76.5" customHeight="1">
      <c r="A15" s="2555" t="s">
        <v>367</v>
      </c>
      <c r="B15" s="2556"/>
      <c r="C15" s="2557" t="s">
        <v>775</v>
      </c>
      <c r="D15" s="2558"/>
      <c r="E15" s="2559"/>
      <c r="F15" s="2557" t="s">
        <v>1161</v>
      </c>
      <c r="G15" s="2558"/>
      <c r="H15" s="2558"/>
      <c r="I15" s="2559"/>
      <c r="J15" s="1303"/>
      <c r="K15" s="220"/>
    </row>
    <row r="16" spans="1:21" ht="76.5" customHeight="1" thickBot="1">
      <c r="A16" s="2550" t="s">
        <v>610</v>
      </c>
      <c r="B16" s="2551"/>
      <c r="C16" s="2552"/>
      <c r="D16" s="2553"/>
      <c r="E16" s="2554"/>
      <c r="F16" s="2552"/>
      <c r="G16" s="2553"/>
      <c r="H16" s="2553"/>
      <c r="I16" s="2554"/>
      <c r="J16" s="1304"/>
    </row>
    <row r="17" spans="1:10">
      <c r="J17" s="1040"/>
    </row>
    <row r="18" spans="1:10">
      <c r="E18" s="754" t="s">
        <v>286</v>
      </c>
      <c r="J18" s="1040"/>
    </row>
    <row r="19" spans="1:10" hidden="1">
      <c r="A19" s="1041" t="s">
        <v>610</v>
      </c>
      <c r="J19" s="1040"/>
    </row>
    <row r="20" spans="1:10" hidden="1">
      <c r="A20" s="1041" t="s">
        <v>365</v>
      </c>
      <c r="J20" s="1040"/>
    </row>
    <row r="21" spans="1:10" hidden="1">
      <c r="A21" s="1041" t="s">
        <v>366</v>
      </c>
      <c r="J21" s="1040"/>
    </row>
    <row r="22" spans="1:10" hidden="1">
      <c r="J22" s="1040"/>
    </row>
    <row r="23" spans="1:10" hidden="1">
      <c r="A23" s="1041" t="s">
        <v>610</v>
      </c>
      <c r="J23" s="1040"/>
    </row>
    <row r="24" spans="1:10" hidden="1">
      <c r="A24" s="1041" t="s">
        <v>367</v>
      </c>
    </row>
    <row r="25" spans="1:10" hidden="1">
      <c r="A25" s="1041" t="s">
        <v>368</v>
      </c>
    </row>
    <row r="26" spans="1:10" hidden="1">
      <c r="A26" s="1041" t="s">
        <v>369</v>
      </c>
    </row>
    <row r="27" spans="1:10" hidden="1">
      <c r="A27" s="1041" t="s">
        <v>374</v>
      </c>
    </row>
    <row r="28" spans="1:10" hidden="1">
      <c r="A28" s="1041" t="s">
        <v>375</v>
      </c>
    </row>
    <row r="29" spans="1:10" hidden="1"/>
  </sheetData>
  <sheetProtection formatCells="0" formatColumns="0" formatRows="0" insertRows="0"/>
  <mergeCells count="17">
    <mergeCell ref="A16:B16"/>
    <mergeCell ref="F16:I16"/>
    <mergeCell ref="C16:E16"/>
    <mergeCell ref="A14:B14"/>
    <mergeCell ref="F15:I15"/>
    <mergeCell ref="C14:E14"/>
    <mergeCell ref="F14:I14"/>
    <mergeCell ref="A15:B15"/>
    <mergeCell ref="C15:E15"/>
    <mergeCell ref="A1:J1"/>
    <mergeCell ref="A3:B3"/>
    <mergeCell ref="C3:F3"/>
    <mergeCell ref="C6:F6"/>
    <mergeCell ref="A13:B13"/>
    <mergeCell ref="F13:I13"/>
    <mergeCell ref="C13:E13"/>
    <mergeCell ref="A11:J11"/>
  </mergeCells>
  <phoneticPr fontId="37" type="noConversion"/>
  <dataValidations count="1">
    <dataValidation type="list" allowBlank="1" showInputMessage="1" showErrorMessage="1" sqref="A14:B16">
      <formula1>$A$23:$A$28</formula1>
    </dataValidation>
  </dataValidations>
  <printOptions horizontalCentered="1"/>
  <pageMargins left="0.74803149606299213" right="0.74803149606299213" top="0.59055118110236227" bottom="0.59055118110236227" header="0.51181102362204722" footer="0.51181102362204722"/>
  <pageSetup paperSize="9" scale="48" fitToHeight="0" orientation="landscape" cellComments="asDisplayed" r:id="rId1"/>
  <headerFooter>
    <oddFooter>&amp;L&amp;9&amp;F&amp;C&amp;A&amp;R&amp;9Page &amp;P of &amp;N</oddFooter>
  </headerFooter>
</worksheet>
</file>

<file path=xl/worksheets/sheet23.xml><?xml version="1.0" encoding="utf-8"?>
<worksheet xmlns="http://schemas.openxmlformats.org/spreadsheetml/2006/main" xmlns:r="http://schemas.openxmlformats.org/officeDocument/2006/relationships">
  <sheetPr>
    <tabColor indexed="40"/>
    <pageSetUpPr fitToPage="1"/>
  </sheetPr>
  <dimension ref="A1:K25"/>
  <sheetViews>
    <sheetView view="pageBreakPreview" topLeftCell="A17" zoomScale="70" zoomScaleNormal="85" zoomScaleSheetLayoutView="70" workbookViewId="0">
      <selection activeCell="H38" sqref="H38"/>
    </sheetView>
  </sheetViews>
  <sheetFormatPr defaultRowHeight="12.75"/>
  <cols>
    <col min="1" max="1" width="9.140625" style="69"/>
    <col min="2" max="2" width="22.140625" style="69" customWidth="1"/>
    <col min="3" max="3" width="27" style="69" customWidth="1"/>
    <col min="4" max="4" width="21.140625" style="69" customWidth="1"/>
    <col min="5" max="5" width="17" style="69" customWidth="1"/>
    <col min="6" max="6" width="15.42578125" style="69" customWidth="1"/>
    <col min="7" max="7" width="16.28515625" style="69" customWidth="1"/>
    <col min="8" max="8" width="17.28515625" style="69" customWidth="1"/>
    <col min="9" max="9" width="17.85546875" style="69" customWidth="1"/>
    <col min="10" max="10" width="58.85546875" style="69" customWidth="1"/>
    <col min="11" max="11" width="2" style="69" customWidth="1"/>
    <col min="12" max="16384" width="9.140625" style="69"/>
  </cols>
  <sheetData>
    <row r="1" spans="1:11" ht="24" customHeight="1">
      <c r="A1" s="2166" t="s">
        <v>632</v>
      </c>
      <c r="B1" s="2166"/>
      <c r="C1" s="2166"/>
      <c r="D1" s="2166"/>
      <c r="E1" s="2166"/>
      <c r="F1" s="2166"/>
      <c r="G1" s="2166"/>
      <c r="H1" s="2166"/>
      <c r="I1" s="2166"/>
      <c r="J1" s="553"/>
    </row>
    <row r="2" spans="1:11" ht="27" customHeight="1" thickBot="1">
      <c r="A2" s="98" t="s">
        <v>508</v>
      </c>
      <c r="B2" s="72"/>
      <c r="C2" s="72"/>
      <c r="D2" s="72"/>
      <c r="E2" s="72"/>
      <c r="F2" s="72"/>
      <c r="G2" s="72"/>
      <c r="H2" s="72"/>
      <c r="I2" s="72"/>
      <c r="J2" s="553"/>
    </row>
    <row r="3" spans="1:11" ht="15.75" thickBot="1">
      <c r="A3" s="2150" t="s">
        <v>422</v>
      </c>
      <c r="B3" s="2602"/>
      <c r="C3" s="2151"/>
      <c r="D3" s="2603" t="str">
        <f>IF('LFA_Programmatic Progress_1A'!C7="","",'LFA_Programmatic Progress_1A'!C7)</f>
        <v>BTN-607-G03-H</v>
      </c>
      <c r="E3" s="2604"/>
      <c r="F3" s="2604"/>
      <c r="G3" s="2605"/>
      <c r="H3" s="80"/>
      <c r="I3" s="80"/>
      <c r="J3" s="553"/>
    </row>
    <row r="4" spans="1:11" ht="15">
      <c r="A4" s="493" t="s">
        <v>629</v>
      </c>
      <c r="B4" s="58"/>
      <c r="C4" s="58"/>
      <c r="D4" s="53" t="s">
        <v>630</v>
      </c>
      <c r="E4" s="89" t="str">
        <f>IF('LFA_Programmatic Progress_1A'!D16="Select","",'LFA_Programmatic Progress_1A'!D16)</f>
        <v/>
      </c>
      <c r="F4" s="5" t="s">
        <v>631</v>
      </c>
      <c r="G4" s="506">
        <f>IF('LFA_Programmatic Progress_1A'!F16="Select","",'LFA_Programmatic Progress_1A'!F16)</f>
        <v>0</v>
      </c>
      <c r="H4" s="80"/>
      <c r="I4" s="80"/>
      <c r="J4" s="553"/>
    </row>
    <row r="5" spans="1:11" ht="15">
      <c r="A5" s="513" t="s">
        <v>627</v>
      </c>
      <c r="B5" s="58"/>
      <c r="C5" s="59"/>
      <c r="D5" s="54" t="s">
        <v>593</v>
      </c>
      <c r="E5" s="93" t="str">
        <f>IF('LFA_Programmatic Progress_1A'!D17="Select","",'LFA_Programmatic Progress_1A'!D17)</f>
        <v/>
      </c>
      <c r="F5" s="5" t="s">
        <v>611</v>
      </c>
      <c r="G5" s="505" t="str">
        <f>IF('LFA_Programmatic Progress_1A'!F17="Select","",'LFA_Programmatic Progress_1A'!F17)</f>
        <v/>
      </c>
      <c r="H5" s="80"/>
      <c r="I5" s="80"/>
      <c r="J5" s="553"/>
    </row>
    <row r="6" spans="1:11" ht="15.75" thickBot="1">
      <c r="A6" s="55" t="s">
        <v>628</v>
      </c>
      <c r="B6" s="60"/>
      <c r="C6" s="61"/>
      <c r="D6" s="2606">
        <f>IF('LFA_Programmatic Progress_1A'!C18="Select","",'LFA_Programmatic Progress_1A'!C18)</f>
        <v>0</v>
      </c>
      <c r="E6" s="2607"/>
      <c r="F6" s="2607"/>
      <c r="G6" s="2608"/>
      <c r="H6" s="80"/>
      <c r="I6" s="80"/>
      <c r="J6" s="553"/>
    </row>
    <row r="7" spans="1:11" s="754" customFormat="1" ht="15">
      <c r="A7" s="236"/>
      <c r="B7" s="237"/>
      <c r="C7" s="242"/>
      <c r="D7" s="245"/>
      <c r="E7" s="235"/>
      <c r="F7" s="246"/>
      <c r="G7" s="245"/>
      <c r="H7" s="177"/>
      <c r="I7" s="250"/>
      <c r="J7" s="635"/>
    </row>
    <row r="8" spans="1:11" s="754" customFormat="1" ht="20.25">
      <c r="A8" s="165" t="s">
        <v>581</v>
      </c>
      <c r="B8" s="238"/>
      <c r="C8" s="180"/>
      <c r="D8" s="241"/>
      <c r="E8" s="241"/>
      <c r="F8" s="243"/>
      <c r="G8" s="244"/>
      <c r="H8" s="248"/>
      <c r="I8" s="248"/>
      <c r="J8" s="635"/>
    </row>
    <row r="9" spans="1:11" s="754" customFormat="1" ht="15">
      <c r="A9" s="239"/>
      <c r="B9" s="180"/>
      <c r="C9" s="240"/>
      <c r="D9" s="176"/>
      <c r="E9" s="244"/>
      <c r="F9" s="244"/>
      <c r="G9" s="249"/>
      <c r="H9" s="248"/>
      <c r="I9" s="253"/>
      <c r="J9" s="635"/>
    </row>
    <row r="10" spans="1:11" ht="5.25" customHeight="1">
      <c r="A10" s="636"/>
      <c r="B10" s="555"/>
      <c r="C10" s="556"/>
      <c r="D10" s="556"/>
      <c r="E10" s="556"/>
      <c r="F10" s="555"/>
      <c r="G10" s="555"/>
      <c r="H10" s="555"/>
      <c r="I10" s="556"/>
      <c r="J10" s="556"/>
    </row>
    <row r="11" spans="1:11" ht="18" customHeight="1">
      <c r="A11" s="2600" t="s">
        <v>169</v>
      </c>
      <c r="B11" s="2601"/>
      <c r="C11" s="2601"/>
      <c r="D11" s="2601"/>
      <c r="E11" s="2601"/>
      <c r="F11" s="2601"/>
      <c r="G11" s="2601"/>
      <c r="H11" s="2601"/>
      <c r="I11" s="2601"/>
      <c r="J11" s="2601"/>
      <c r="K11" s="992"/>
    </row>
    <row r="12" spans="1:11" ht="13.5" thickBot="1">
      <c r="A12" s="637"/>
      <c r="B12" s="31"/>
      <c r="C12" s="638"/>
      <c r="D12" s="638"/>
      <c r="E12" s="638"/>
      <c r="F12" s="639"/>
      <c r="G12" s="639"/>
      <c r="H12" s="639"/>
      <c r="I12" s="639"/>
      <c r="J12" s="638"/>
    </row>
    <row r="13" spans="1:11" ht="26.25" customHeight="1">
      <c r="A13" s="454"/>
      <c r="B13" s="455"/>
      <c r="C13" s="455"/>
      <c r="D13" s="456"/>
      <c r="E13" s="457"/>
      <c r="F13" s="514" t="s">
        <v>100</v>
      </c>
      <c r="G13" s="514" t="s">
        <v>101</v>
      </c>
      <c r="H13" s="2581" t="s">
        <v>487</v>
      </c>
      <c r="I13" s="2582"/>
      <c r="J13" s="2583"/>
    </row>
    <row r="14" spans="1:11" ht="51" customHeight="1">
      <c r="A14" s="2587" t="s">
        <v>239</v>
      </c>
      <c r="B14" s="2588"/>
      <c r="C14" s="2588"/>
      <c r="D14" s="2588"/>
      <c r="E14" s="2589"/>
      <c r="F14" s="769">
        <f>+'PR_Cash Reconciliation_5A'!M13</f>
        <v>14553.74</v>
      </c>
      <c r="G14" s="770">
        <v>130297</v>
      </c>
      <c r="H14" s="2101" t="s">
        <v>1058</v>
      </c>
      <c r="I14" s="2102"/>
      <c r="J14" s="2584"/>
    </row>
    <row r="15" spans="1:11" ht="39" customHeight="1">
      <c r="A15" s="2596" t="s">
        <v>604</v>
      </c>
      <c r="B15" s="2597"/>
      <c r="C15" s="2597"/>
      <c r="D15" s="2597"/>
      <c r="E15" s="2597"/>
      <c r="F15" s="2594">
        <f>+'PR_Cash Reconciliation_5A'!K15</f>
        <v>286195</v>
      </c>
      <c r="G15" s="2598">
        <v>0</v>
      </c>
      <c r="H15" s="2101"/>
      <c r="I15" s="2102"/>
      <c r="J15" s="2584"/>
    </row>
    <row r="16" spans="1:11" ht="39" customHeight="1">
      <c r="A16" s="640"/>
      <c r="B16" s="2570" t="s">
        <v>356</v>
      </c>
      <c r="C16" s="2571"/>
      <c r="D16" s="2571"/>
      <c r="E16" s="2590"/>
      <c r="F16" s="2595"/>
      <c r="G16" s="2599"/>
      <c r="H16" s="2107"/>
      <c r="I16" s="2108"/>
      <c r="J16" s="2585"/>
    </row>
    <row r="17" spans="1:10" s="754" customFormat="1" ht="39" customHeight="1">
      <c r="A17" s="640"/>
      <c r="B17" s="2591" t="s">
        <v>396</v>
      </c>
      <c r="C17" s="2592"/>
      <c r="D17" s="2592"/>
      <c r="E17" s="2593"/>
      <c r="F17" s="486">
        <f>+'PR_Cash Reconciliation_5A'!K16</f>
        <v>0</v>
      </c>
      <c r="G17" s="771">
        <v>0</v>
      </c>
      <c r="H17" s="2334"/>
      <c r="I17" s="2560"/>
      <c r="J17" s="2561"/>
    </row>
    <row r="18" spans="1:10" s="754" customFormat="1" ht="39" customHeight="1">
      <c r="A18" s="640"/>
      <c r="B18" s="2330" t="s">
        <v>166</v>
      </c>
      <c r="C18" s="2330"/>
      <c r="D18" s="2330"/>
      <c r="E18" s="2586"/>
      <c r="F18" s="486">
        <f>+'PR_Cash Reconciliation_5A'!K17</f>
        <v>0</v>
      </c>
      <c r="G18" s="771">
        <v>0</v>
      </c>
      <c r="H18" s="2101"/>
      <c r="I18" s="2577"/>
      <c r="J18" s="2578"/>
    </row>
    <row r="19" spans="1:10" ht="39" customHeight="1">
      <c r="A19" s="640"/>
      <c r="B19" s="2330" t="s">
        <v>167</v>
      </c>
      <c r="C19" s="2579"/>
      <c r="D19" s="2579"/>
      <c r="E19" s="2580"/>
      <c r="F19" s="486">
        <f>+'PR_Cash Reconciliation_5A'!K18</f>
        <v>0</v>
      </c>
      <c r="G19" s="771">
        <v>0</v>
      </c>
      <c r="H19" s="2334"/>
      <c r="I19" s="2560"/>
      <c r="J19" s="2561"/>
    </row>
    <row r="20" spans="1:10" ht="39" customHeight="1">
      <c r="A20" s="640"/>
      <c r="B20" s="2568" t="s">
        <v>398</v>
      </c>
      <c r="C20" s="2569"/>
      <c r="D20" s="2569"/>
      <c r="E20" s="2569"/>
      <c r="F20" s="772">
        <f>+'PR_Cash Reconciliation_5A'!K19</f>
        <v>0</v>
      </c>
      <c r="G20" s="773">
        <v>0</v>
      </c>
      <c r="H20" s="2334"/>
      <c r="I20" s="2560"/>
      <c r="J20" s="2561"/>
    </row>
    <row r="21" spans="1:10" ht="41.25" customHeight="1">
      <c r="A21" s="641" t="s">
        <v>605</v>
      </c>
      <c r="B21" s="2570" t="s">
        <v>240</v>
      </c>
      <c r="C21" s="2571"/>
      <c r="D21" s="2571"/>
      <c r="E21" s="2571"/>
      <c r="F21" s="774">
        <f>+'PR_Cash Reconciliation_5A'!K22</f>
        <v>128493.31</v>
      </c>
      <c r="G21" s="775">
        <v>115743</v>
      </c>
      <c r="H21" s="2334" t="s">
        <v>1059</v>
      </c>
      <c r="I21" s="2560"/>
      <c r="J21" s="2561"/>
    </row>
    <row r="22" spans="1:10" ht="41.25" customHeight="1">
      <c r="A22" s="640"/>
      <c r="B22" s="2565" t="s">
        <v>400</v>
      </c>
      <c r="C22" s="2566"/>
      <c r="D22" s="2566"/>
      <c r="E22" s="2567"/>
      <c r="F22" s="776">
        <f>+'PR_Cash Reconciliation_5A'!K23</f>
        <v>0</v>
      </c>
      <c r="G22" s="777">
        <v>0</v>
      </c>
      <c r="H22" s="2334"/>
      <c r="I22" s="2560"/>
      <c r="J22" s="2561"/>
    </row>
    <row r="23" spans="1:10" ht="41.25" customHeight="1">
      <c r="A23" s="640"/>
      <c r="B23" s="2574" t="s">
        <v>483</v>
      </c>
      <c r="C23" s="2575"/>
      <c r="D23" s="2575"/>
      <c r="E23" s="2576"/>
      <c r="F23" s="776">
        <f>+'PR_Cash Reconciliation_5A'!K24</f>
        <v>0</v>
      </c>
      <c r="G23" s="778">
        <v>0</v>
      </c>
      <c r="H23" s="2334"/>
      <c r="I23" s="2560"/>
      <c r="J23" s="2561"/>
    </row>
    <row r="24" spans="1:10" ht="51" customHeight="1" thickBot="1">
      <c r="A24" s="2572" t="s">
        <v>485</v>
      </c>
      <c r="B24" s="2332"/>
      <c r="C24" s="2332"/>
      <c r="D24" s="2332"/>
      <c r="E24" s="2573"/>
      <c r="F24" s="1305">
        <f>+F14+F15+F17+F18+F19+F20-F21-F22-F23</f>
        <v>172255.43</v>
      </c>
      <c r="G24" s="485">
        <f>+G14+G15+G17+G18+G19+G20-G21-G22-G23</f>
        <v>14554</v>
      </c>
      <c r="H24" s="2562" t="s">
        <v>1067</v>
      </c>
      <c r="I24" s="2563"/>
      <c r="J24" s="2564"/>
    </row>
    <row r="25" spans="1:10" ht="12" customHeight="1">
      <c r="A25" s="88"/>
      <c r="B25" s="573"/>
      <c r="C25" s="573"/>
      <c r="D25" s="573"/>
      <c r="E25" s="573"/>
      <c r="F25" s="573"/>
      <c r="G25" s="573"/>
      <c r="H25" s="573"/>
      <c r="I25" s="573"/>
      <c r="J25" s="1043"/>
    </row>
  </sheetData>
  <sheetProtection password="92D1" sheet="1" formatCells="0" formatColumns="0" formatRows="0"/>
  <mergeCells count="29">
    <mergeCell ref="A11:J11"/>
    <mergeCell ref="A1:I1"/>
    <mergeCell ref="A3:C3"/>
    <mergeCell ref="D3:G3"/>
    <mergeCell ref="D6:G6"/>
    <mergeCell ref="H19:J19"/>
    <mergeCell ref="H18:J18"/>
    <mergeCell ref="B19:E19"/>
    <mergeCell ref="H13:J13"/>
    <mergeCell ref="H15:J16"/>
    <mergeCell ref="H14:J14"/>
    <mergeCell ref="B18:E18"/>
    <mergeCell ref="H17:J17"/>
    <mergeCell ref="A14:E14"/>
    <mergeCell ref="B16:E16"/>
    <mergeCell ref="B17:E17"/>
    <mergeCell ref="F15:F16"/>
    <mergeCell ref="A15:E15"/>
    <mergeCell ref="G15:G16"/>
    <mergeCell ref="H22:J22"/>
    <mergeCell ref="H24:J24"/>
    <mergeCell ref="B22:E22"/>
    <mergeCell ref="B20:E20"/>
    <mergeCell ref="B21:E21"/>
    <mergeCell ref="H21:J21"/>
    <mergeCell ref="A24:E24"/>
    <mergeCell ref="H20:J20"/>
    <mergeCell ref="B23:E23"/>
    <mergeCell ref="H23:J23"/>
  </mergeCells>
  <phoneticPr fontId="37" type="noConversion"/>
  <dataValidations count="1">
    <dataValidation type="list" allowBlank="1" showInputMessage="1" showErrorMessage="1" sqref="E4:E5">
      <formula1>"Select,Quarter,Semester"</formula1>
    </dataValidation>
  </dataValidations>
  <printOptions horizontalCentered="1"/>
  <pageMargins left="0.74803149606299213" right="0.74803149606299213" top="0.59055118110236227" bottom="0.59055118110236227" header="0.51181102362204722" footer="0.51181102362204722"/>
  <pageSetup paperSize="9" scale="59" fitToHeight="0" orientation="landscape" cellComments="asDisplayed" r:id="rId1"/>
  <headerFooter alignWithMargins="0">
    <oddFooter>&amp;L&amp;9&amp;F&amp;C&amp;A&amp;R&amp;9Page &amp;P of &amp;N</oddFooter>
  </headerFooter>
</worksheet>
</file>

<file path=xl/worksheets/sheet24.xml><?xml version="1.0" encoding="utf-8"?>
<worksheet xmlns="http://schemas.openxmlformats.org/spreadsheetml/2006/main" xmlns:r="http://schemas.openxmlformats.org/officeDocument/2006/relationships">
  <dimension ref="A2:M17"/>
  <sheetViews>
    <sheetView showGridLines="0" workbookViewId="0">
      <selection activeCell="D4" sqref="D4"/>
    </sheetView>
  </sheetViews>
  <sheetFormatPr defaultColWidth="7.28515625" defaultRowHeight="12.75"/>
  <cols>
    <col min="1" max="1" width="1.5703125" style="1493" customWidth="1"/>
    <col min="2" max="2" width="49.42578125" style="1493" customWidth="1"/>
    <col min="3" max="3" width="11.28515625" style="1493" customWidth="1"/>
    <col min="4" max="4" width="14.140625" style="1493" customWidth="1"/>
    <col min="5" max="5" width="13.85546875" style="1493" customWidth="1"/>
    <col min="6" max="6" width="8.7109375" style="1493" customWidth="1"/>
    <col min="7" max="7" width="2.140625" style="1493" hidden="1" customWidth="1"/>
    <col min="8" max="8" width="15.42578125" style="1493" customWidth="1"/>
    <col min="9" max="9" width="12.5703125" style="1493" customWidth="1"/>
    <col min="10" max="10" width="9.140625" style="1493" customWidth="1"/>
    <col min="11" max="11" width="9.42578125" style="1493" bestFit="1" customWidth="1"/>
    <col min="12" max="16384" width="7.28515625" style="1493"/>
  </cols>
  <sheetData>
    <row r="2" spans="1:13" ht="33" customHeight="1" thickBot="1">
      <c r="A2" s="1494" t="s">
        <v>1005</v>
      </c>
      <c r="B2" s="2611" t="s">
        <v>1017</v>
      </c>
      <c r="C2" s="2611"/>
      <c r="D2" s="2611"/>
      <c r="E2" s="2612"/>
      <c r="F2" s="2609"/>
      <c r="G2" s="2610"/>
      <c r="H2" s="2610"/>
      <c r="I2" s="2610"/>
    </row>
    <row r="3" spans="1:13" ht="21.95" customHeight="1" thickTop="1">
      <c r="A3" s="1495"/>
      <c r="B3" s="1512" t="s">
        <v>1015</v>
      </c>
      <c r="C3" s="1512" t="s">
        <v>1006</v>
      </c>
      <c r="D3" s="1513" t="s">
        <v>1050</v>
      </c>
      <c r="E3" s="1514" t="s">
        <v>658</v>
      </c>
      <c r="F3" s="1496"/>
      <c r="G3" s="1497"/>
      <c r="H3" s="1497"/>
      <c r="I3" s="1497"/>
    </row>
    <row r="4" spans="1:13" ht="24.75" customHeight="1">
      <c r="B4" s="1690" t="s">
        <v>1052</v>
      </c>
      <c r="C4" s="1691"/>
      <c r="D4" s="1692"/>
      <c r="E4" s="1693"/>
      <c r="F4" s="1498"/>
      <c r="G4" s="1499"/>
      <c r="H4" s="1499"/>
      <c r="I4" s="1499"/>
    </row>
    <row r="5" spans="1:13">
      <c r="B5" s="1694" t="s">
        <v>1007</v>
      </c>
      <c r="C5" s="1695">
        <v>45.37</v>
      </c>
      <c r="D5" s="1500">
        <v>5785803.1600000001</v>
      </c>
      <c r="E5" s="1696">
        <f>D5/C5</f>
        <v>127524.86577033284</v>
      </c>
      <c r="F5" s="1498"/>
      <c r="G5" s="1499"/>
      <c r="H5" s="1499"/>
      <c r="I5" s="1499"/>
      <c r="J5" s="1501"/>
    </row>
    <row r="6" spans="1:13">
      <c r="B6" s="1694" t="s">
        <v>1008</v>
      </c>
      <c r="C6" s="1695">
        <v>45.37</v>
      </c>
      <c r="D6" s="1502">
        <v>125382.2</v>
      </c>
      <c r="E6" s="1697">
        <f>D6/C6+8.82</f>
        <v>2772.3686003967382</v>
      </c>
      <c r="F6" s="1498"/>
      <c r="G6" s="1499"/>
      <c r="H6" s="1499"/>
      <c r="I6" s="1499"/>
    </row>
    <row r="7" spans="1:13" ht="20.100000000000001" customHeight="1">
      <c r="B7" s="1698" t="s">
        <v>1009</v>
      </c>
      <c r="C7" s="1699"/>
      <c r="D7" s="1700">
        <f>SUM(D5:D6)</f>
        <v>5911185.3600000003</v>
      </c>
      <c r="E7" s="1701">
        <f>SUM(E5:E6)</f>
        <v>130297.23437072958</v>
      </c>
      <c r="F7" s="1503"/>
      <c r="G7" s="1504"/>
      <c r="H7" s="1504"/>
      <c r="I7" s="1504"/>
    </row>
    <row r="8" spans="1:13" ht="21.6" customHeight="1">
      <c r="B8" s="1702" t="s">
        <v>1051</v>
      </c>
      <c r="C8" s="1703"/>
      <c r="D8" s="1704"/>
      <c r="E8" s="1696"/>
      <c r="F8" s="1498"/>
      <c r="G8" s="1499"/>
      <c r="H8" s="1499"/>
      <c r="I8" s="1499"/>
    </row>
    <row r="9" spans="1:13" ht="18.95" customHeight="1">
      <c r="B9" s="1694" t="s">
        <v>1010</v>
      </c>
      <c r="C9" s="1695">
        <v>45.37</v>
      </c>
      <c r="D9" s="1704">
        <f>'[8]Exp. details'!C234-163808</f>
        <v>3511243.94</v>
      </c>
      <c r="E9" s="1696">
        <f>D9/C9+8.82</f>
        <v>77400.134525016547</v>
      </c>
      <c r="F9" s="1498"/>
      <c r="G9" s="1499"/>
      <c r="H9" s="1499"/>
      <c r="I9" s="1499"/>
      <c r="L9" s="1505"/>
      <c r="M9" s="1501"/>
    </row>
    <row r="10" spans="1:13" ht="17.45" customHeight="1">
      <c r="B10" s="1705" t="s">
        <v>1011</v>
      </c>
      <c r="C10" s="1695">
        <v>45.37</v>
      </c>
      <c r="D10" s="1706">
        <f>'[8]Exp. details'!C235</f>
        <v>1739638</v>
      </c>
      <c r="E10" s="1696">
        <f>D10/C10</f>
        <v>38343.354639629717</v>
      </c>
      <c r="F10" s="1498"/>
      <c r="G10" s="1499"/>
      <c r="H10" s="1499"/>
      <c r="I10" s="1499"/>
      <c r="L10" s="1505"/>
      <c r="M10" s="1501"/>
    </row>
    <row r="11" spans="1:13" ht="16.5" customHeight="1">
      <c r="B11" s="1698" t="s">
        <v>1012</v>
      </c>
      <c r="C11" s="1698"/>
      <c r="D11" s="1707">
        <f>SUM(D9:D10)</f>
        <v>5250881.9399999995</v>
      </c>
      <c r="E11" s="1708">
        <f>SUM(E9:E10)</f>
        <v>115743.48916464626</v>
      </c>
      <c r="F11" s="1503"/>
      <c r="G11" s="1504"/>
      <c r="H11" s="1504"/>
      <c r="I11" s="1504"/>
      <c r="L11" s="1506"/>
      <c r="M11" s="1501"/>
    </row>
    <row r="12" spans="1:13" ht="13.5" thickBot="1">
      <c r="B12" s="1709"/>
      <c r="C12" s="1709"/>
      <c r="D12" s="1710"/>
      <c r="E12" s="1711"/>
      <c r="F12" s="1498"/>
      <c r="G12" s="1499"/>
      <c r="H12" s="1499"/>
      <c r="I12" s="1499"/>
    </row>
    <row r="13" spans="1:13" ht="14.25" thickTop="1" thickBot="1">
      <c r="B13" s="1712" t="s">
        <v>1013</v>
      </c>
      <c r="C13" s="1712"/>
      <c r="D13" s="1713">
        <f>+D7-D11</f>
        <v>660303.42000000086</v>
      </c>
      <c r="E13" s="1714">
        <f>E7-E11</f>
        <v>14553.745206083317</v>
      </c>
      <c r="F13" s="1503"/>
      <c r="G13" s="1504"/>
      <c r="H13" s="1504"/>
      <c r="I13" s="1504"/>
    </row>
    <row r="14" spans="1:13" ht="21" customHeight="1" thickTop="1">
      <c r="B14" s="1715" t="s">
        <v>1016</v>
      </c>
      <c r="C14" s="1695"/>
      <c r="D14" s="1716"/>
      <c r="E14" s="1717"/>
      <c r="F14" s="1507"/>
      <c r="G14" s="1508"/>
      <c r="H14" s="1509"/>
      <c r="I14" s="1509"/>
    </row>
    <row r="15" spans="1:13">
      <c r="B15" s="1694" t="s">
        <v>1053</v>
      </c>
      <c r="C15" s="1695">
        <v>45.37</v>
      </c>
      <c r="D15" s="1704">
        <f>'[8]Exp. details'!H221+163808</f>
        <v>660303.26</v>
      </c>
      <c r="E15" s="1696">
        <v>14553.75</v>
      </c>
      <c r="F15" s="1498"/>
      <c r="G15" s="1509"/>
      <c r="H15" s="1499"/>
      <c r="I15" s="1509"/>
    </row>
    <row r="16" spans="1:13" ht="27.6" customHeight="1" thickBot="1">
      <c r="B16" s="1718" t="s">
        <v>1014</v>
      </c>
      <c r="C16" s="1718"/>
      <c r="D16" s="1719">
        <f>SUM(D15:D15)</f>
        <v>660303.26</v>
      </c>
      <c r="E16" s="1720">
        <f>SUM(E15:E15)</f>
        <v>14553.75</v>
      </c>
      <c r="F16" s="1510"/>
      <c r="G16" s="1511"/>
      <c r="H16" s="1511"/>
      <c r="I16" s="1511"/>
    </row>
    <row r="17" ht="13.5" thickTop="1"/>
  </sheetData>
  <mergeCells count="3">
    <mergeCell ref="F2:G2"/>
    <mergeCell ref="H2:I2"/>
    <mergeCell ref="B2:E2"/>
  </mergeCells>
  <pageMargins left="0.25" right="0.39" top="0.26" bottom="0.37" header="0.19" footer="0.3"/>
  <pageSetup orientation="landscape" r:id="rId1"/>
  <headerFooter alignWithMargins="0"/>
</worksheet>
</file>

<file path=xl/worksheets/sheet25.xml><?xml version="1.0" encoding="utf-8"?>
<worksheet xmlns="http://schemas.openxmlformats.org/spreadsheetml/2006/main" xmlns:r="http://schemas.openxmlformats.org/officeDocument/2006/relationships">
  <sheetPr enableFormatConditionsCalculation="0">
    <tabColor indexed="40"/>
    <pageSetUpPr fitToPage="1"/>
  </sheetPr>
  <dimension ref="A1:IT55"/>
  <sheetViews>
    <sheetView view="pageBreakPreview" topLeftCell="C9" zoomScale="70" zoomScaleNormal="60" zoomScaleSheetLayoutView="70" zoomScalePageLayoutView="55" workbookViewId="0">
      <selection activeCell="J50" sqref="J50:O54"/>
    </sheetView>
  </sheetViews>
  <sheetFormatPr defaultRowHeight="12.75"/>
  <cols>
    <col min="1" max="1" width="9.140625" style="69"/>
    <col min="2" max="2" width="34.42578125" style="69" customWidth="1"/>
    <col min="3" max="3" width="10.85546875" style="69" customWidth="1"/>
    <col min="4" max="4" width="8.28515625" style="69" bestFit="1" customWidth="1"/>
    <col min="5" max="5" width="6.140625" style="69" customWidth="1"/>
    <col min="6" max="6" width="16.140625" style="69" customWidth="1"/>
    <col min="7" max="7" width="4.85546875" style="69" customWidth="1"/>
    <col min="8" max="8" width="17" style="69" customWidth="1"/>
    <col min="9" max="9" width="15.42578125" style="69" customWidth="1"/>
    <col min="10" max="10" width="22.7109375" style="69" customWidth="1"/>
    <col min="11" max="11" width="26" style="69" customWidth="1"/>
    <col min="12" max="12" width="3.42578125" style="69" customWidth="1"/>
    <col min="13" max="13" width="19.7109375" style="69" customWidth="1"/>
    <col min="14" max="14" width="2.42578125" style="69" customWidth="1"/>
    <col min="15" max="15" width="23.85546875" style="69" customWidth="1"/>
    <col min="16" max="16" width="17.5703125" style="69" customWidth="1"/>
    <col min="17" max="17" width="7" style="69" customWidth="1"/>
    <col min="18" max="18" width="28.7109375" style="69" customWidth="1"/>
    <col min="19" max="19" width="3.85546875" style="69" customWidth="1"/>
    <col min="20" max="16384" width="9.140625" style="69"/>
  </cols>
  <sheetData>
    <row r="1" spans="1:254" ht="24" customHeight="1">
      <c r="A1" s="2166" t="s">
        <v>632</v>
      </c>
      <c r="B1" s="2166"/>
      <c r="C1" s="2166"/>
      <c r="D1" s="2166"/>
      <c r="E1" s="2166"/>
      <c r="F1" s="2166"/>
      <c r="G1" s="2166"/>
      <c r="H1" s="2166"/>
      <c r="I1" s="2166"/>
      <c r="J1" s="2166"/>
      <c r="K1" s="2166"/>
      <c r="L1" s="2166"/>
      <c r="M1" s="2166"/>
      <c r="N1" s="2166"/>
      <c r="O1" s="2166"/>
      <c r="P1" s="301"/>
      <c r="Q1" s="301"/>
      <c r="R1" s="553"/>
    </row>
    <row r="2" spans="1:254" ht="27" customHeight="1" thickBot="1">
      <c r="A2" s="98" t="s">
        <v>508</v>
      </c>
      <c r="B2" s="72"/>
      <c r="C2" s="72"/>
      <c r="D2" s="72"/>
      <c r="E2" s="72"/>
      <c r="F2" s="72"/>
      <c r="G2" s="72"/>
      <c r="H2" s="72"/>
      <c r="I2" s="72"/>
      <c r="J2" s="72"/>
      <c r="K2" s="72"/>
      <c r="L2" s="72"/>
      <c r="M2" s="72"/>
      <c r="N2" s="72"/>
      <c r="O2" s="72"/>
      <c r="P2" s="301"/>
      <c r="Q2" s="301"/>
      <c r="R2" s="553"/>
    </row>
    <row r="3" spans="1:254" ht="15.75" thickBot="1">
      <c r="A3" s="2150" t="s">
        <v>422</v>
      </c>
      <c r="B3" s="2602"/>
      <c r="C3" s="2602"/>
      <c r="D3" s="2602"/>
      <c r="E3" s="2602"/>
      <c r="F3" s="2603" t="str">
        <f>'LFA_Programmatic Progress_1A'!C7</f>
        <v>BTN-607-G03-H</v>
      </c>
      <c r="G3" s="2604"/>
      <c r="H3" s="2604"/>
      <c r="I3" s="2604"/>
      <c r="J3" s="2605"/>
      <c r="K3" s="80"/>
      <c r="L3" s="80"/>
      <c r="M3" s="75"/>
      <c r="N3" s="80"/>
      <c r="O3" s="80"/>
      <c r="P3" s="301"/>
      <c r="Q3" s="301"/>
      <c r="R3" s="553"/>
    </row>
    <row r="4" spans="1:254" ht="15">
      <c r="A4" s="493" t="s">
        <v>629</v>
      </c>
      <c r="B4" s="58"/>
      <c r="C4" s="58"/>
      <c r="D4" s="58"/>
      <c r="E4" s="58"/>
      <c r="F4" s="54" t="s">
        <v>630</v>
      </c>
      <c r="G4" s="368"/>
      <c r="H4" s="89" t="str">
        <f>IF('LFA_Programmatic Progress_1A'!D16="Select","",'LFA_Programmatic Progress_1A'!D16)</f>
        <v/>
      </c>
      <c r="I4" s="5" t="s">
        <v>631</v>
      </c>
      <c r="J4" s="506">
        <f>IF('LFA_Programmatic Progress_1A'!F16="Select","",'LFA_Programmatic Progress_1A'!F16)</f>
        <v>0</v>
      </c>
      <c r="K4" s="80"/>
      <c r="L4" s="80"/>
      <c r="M4" s="80"/>
      <c r="N4" s="80"/>
      <c r="O4" s="80"/>
      <c r="P4" s="301"/>
      <c r="Q4" s="301"/>
      <c r="R4" s="553"/>
    </row>
    <row r="5" spans="1:254" ht="15">
      <c r="A5" s="513" t="s">
        <v>627</v>
      </c>
      <c r="B5" s="58"/>
      <c r="C5" s="58"/>
      <c r="D5" s="58"/>
      <c r="E5" s="58"/>
      <c r="F5" s="54" t="s">
        <v>593</v>
      </c>
      <c r="G5" s="369"/>
      <c r="H5" s="93" t="str">
        <f>IF('LFA_Programmatic Progress_1A'!D17="Select","",'LFA_Programmatic Progress_1A'!D17)</f>
        <v/>
      </c>
      <c r="I5" s="5" t="s">
        <v>611</v>
      </c>
      <c r="J5" s="505" t="str">
        <f>IF('LFA_Programmatic Progress_1A'!F17="Select","",'LFA_Programmatic Progress_1A'!F17)</f>
        <v/>
      </c>
      <c r="K5" s="80"/>
      <c r="L5" s="80"/>
      <c r="M5" s="80"/>
      <c r="N5" s="80"/>
      <c r="O5" s="80"/>
      <c r="P5" s="301"/>
      <c r="Q5" s="301"/>
      <c r="R5" s="553"/>
    </row>
    <row r="6" spans="1:254" ht="15.75" thickBot="1">
      <c r="A6" s="55" t="s">
        <v>628</v>
      </c>
      <c r="B6" s="60"/>
      <c r="C6" s="60"/>
      <c r="D6" s="60"/>
      <c r="E6" s="60"/>
      <c r="F6" s="2606">
        <f>IF('LFA_Programmatic Progress_1A'!C18="Select","",'LFA_Programmatic Progress_1A'!C18)</f>
        <v>0</v>
      </c>
      <c r="G6" s="2607"/>
      <c r="H6" s="2607"/>
      <c r="I6" s="2607"/>
      <c r="J6" s="2608"/>
      <c r="K6" s="80"/>
      <c r="L6" s="80"/>
      <c r="M6" s="80"/>
      <c r="N6" s="80"/>
      <c r="O6" s="80"/>
      <c r="P6" s="301"/>
      <c r="Q6" s="301"/>
      <c r="R6" s="553"/>
    </row>
    <row r="7" spans="1:254" s="857" customFormat="1" ht="15" customHeight="1" thickBot="1">
      <c r="A7" s="2205" t="s">
        <v>592</v>
      </c>
      <c r="B7" s="2479"/>
      <c r="C7" s="2479"/>
      <c r="D7" s="2479"/>
      <c r="E7" s="2206"/>
      <c r="F7" s="2615" t="str">
        <f>IF('PR_Programmatic Progress_1A'!C10="","",'PR_Programmatic Progress_1A'!C10)</f>
        <v>USD</v>
      </c>
      <c r="G7" s="2616"/>
      <c r="H7" s="2616"/>
      <c r="I7" s="2616"/>
      <c r="J7" s="2616"/>
      <c r="K7" s="1127"/>
      <c r="L7" s="858"/>
      <c r="M7" s="858"/>
      <c r="N7" s="858"/>
      <c r="O7" s="858"/>
      <c r="P7" s="858"/>
      <c r="Q7" s="858"/>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BZ7" s="849"/>
      <c r="CA7" s="849"/>
      <c r="CB7" s="849"/>
      <c r="CC7" s="849"/>
      <c r="CD7" s="849"/>
      <c r="CE7" s="849"/>
      <c r="CF7" s="849"/>
      <c r="CG7" s="849"/>
      <c r="CH7" s="849"/>
      <c r="CI7" s="849"/>
      <c r="CJ7" s="849"/>
      <c r="CK7" s="849"/>
      <c r="CL7" s="849"/>
      <c r="CM7" s="849"/>
      <c r="CN7" s="849"/>
      <c r="CO7" s="849"/>
      <c r="CP7" s="849"/>
      <c r="CQ7" s="849"/>
      <c r="CR7" s="849"/>
      <c r="CS7" s="849"/>
      <c r="CT7" s="849"/>
      <c r="CU7" s="849"/>
      <c r="CV7" s="849"/>
      <c r="CW7" s="849"/>
      <c r="CX7" s="849"/>
      <c r="CY7" s="849"/>
      <c r="CZ7" s="849"/>
      <c r="DA7" s="849"/>
      <c r="DB7" s="849"/>
      <c r="DC7" s="849"/>
      <c r="DD7" s="849"/>
      <c r="DE7" s="849"/>
      <c r="DF7" s="849"/>
      <c r="DG7" s="849"/>
      <c r="DH7" s="849"/>
      <c r="DI7" s="849"/>
      <c r="DJ7" s="849"/>
      <c r="DK7" s="849"/>
      <c r="DL7" s="849"/>
      <c r="DM7" s="849"/>
      <c r="DN7" s="849"/>
      <c r="DO7" s="849"/>
      <c r="DP7" s="849"/>
      <c r="DQ7" s="849"/>
      <c r="DR7" s="849"/>
      <c r="DS7" s="849"/>
      <c r="DT7" s="849"/>
      <c r="DU7" s="849"/>
      <c r="DV7" s="849"/>
      <c r="DW7" s="849"/>
      <c r="DX7" s="849"/>
      <c r="DY7" s="849"/>
      <c r="DZ7" s="849"/>
      <c r="EA7" s="849"/>
      <c r="EB7" s="849"/>
      <c r="EC7" s="849"/>
      <c r="ED7" s="849"/>
      <c r="EE7" s="849"/>
      <c r="EF7" s="849"/>
      <c r="EG7" s="849"/>
      <c r="EH7" s="849"/>
      <c r="EI7" s="849"/>
      <c r="EJ7" s="849"/>
      <c r="EK7" s="849"/>
      <c r="EL7" s="849"/>
      <c r="EM7" s="849"/>
      <c r="EN7" s="849"/>
      <c r="EO7" s="849"/>
      <c r="EP7" s="849"/>
      <c r="EQ7" s="849"/>
      <c r="ER7" s="849"/>
      <c r="ES7" s="849"/>
      <c r="ET7" s="849"/>
      <c r="EU7" s="849"/>
      <c r="EV7" s="849"/>
      <c r="EW7" s="849"/>
      <c r="EX7" s="849"/>
      <c r="EY7" s="849"/>
      <c r="EZ7" s="849"/>
      <c r="FA7" s="849"/>
      <c r="FB7" s="849"/>
      <c r="FC7" s="849"/>
      <c r="FD7" s="849"/>
      <c r="FE7" s="849"/>
      <c r="FF7" s="849"/>
      <c r="FG7" s="849"/>
      <c r="FH7" s="849"/>
      <c r="FI7" s="849"/>
      <c r="FJ7" s="849"/>
      <c r="FK7" s="849"/>
      <c r="FL7" s="849"/>
      <c r="FM7" s="849"/>
      <c r="FN7" s="849"/>
      <c r="FO7" s="849"/>
      <c r="FP7" s="849"/>
      <c r="FQ7" s="849"/>
      <c r="FR7" s="849"/>
      <c r="FS7" s="849"/>
      <c r="FT7" s="849"/>
      <c r="FU7" s="849"/>
      <c r="FV7" s="849"/>
      <c r="FW7" s="849"/>
      <c r="FX7" s="849"/>
      <c r="FY7" s="849"/>
      <c r="FZ7" s="849"/>
      <c r="GA7" s="849"/>
      <c r="GB7" s="849"/>
      <c r="GC7" s="849"/>
      <c r="GD7" s="849"/>
      <c r="GE7" s="849"/>
      <c r="GF7" s="849"/>
      <c r="GG7" s="849"/>
      <c r="GH7" s="849"/>
      <c r="GI7" s="849"/>
      <c r="GJ7" s="849"/>
      <c r="GK7" s="849"/>
      <c r="GL7" s="849"/>
      <c r="GM7" s="849"/>
      <c r="GN7" s="849"/>
      <c r="GO7" s="849"/>
      <c r="GP7" s="849"/>
      <c r="GQ7" s="849"/>
      <c r="GR7" s="849"/>
      <c r="GS7" s="849"/>
      <c r="GT7" s="849"/>
      <c r="GU7" s="849"/>
      <c r="GV7" s="849"/>
      <c r="GW7" s="849"/>
      <c r="GX7" s="849"/>
      <c r="GY7" s="849"/>
      <c r="GZ7" s="849"/>
      <c r="HA7" s="849"/>
      <c r="HB7" s="849"/>
      <c r="HC7" s="849"/>
      <c r="HD7" s="849"/>
      <c r="HE7" s="849"/>
      <c r="HF7" s="849"/>
      <c r="HG7" s="849"/>
      <c r="HH7" s="849"/>
      <c r="HI7" s="849"/>
      <c r="HJ7" s="849"/>
      <c r="HK7" s="849"/>
      <c r="HL7" s="849"/>
      <c r="HM7" s="849"/>
      <c r="HN7" s="849"/>
      <c r="HO7" s="849"/>
      <c r="HP7" s="849"/>
      <c r="HQ7" s="849"/>
      <c r="HR7" s="849"/>
      <c r="HS7" s="849"/>
      <c r="HT7" s="849"/>
      <c r="HU7" s="849"/>
      <c r="HV7" s="849"/>
      <c r="HW7" s="849"/>
      <c r="HX7" s="849"/>
      <c r="HY7" s="849"/>
      <c r="HZ7" s="849"/>
      <c r="IA7" s="849"/>
      <c r="IB7" s="849"/>
      <c r="IC7" s="849"/>
      <c r="ID7" s="849"/>
      <c r="IE7" s="849"/>
      <c r="IF7" s="849"/>
      <c r="IG7" s="849"/>
      <c r="IH7" s="849"/>
      <c r="II7" s="849"/>
      <c r="IJ7" s="849"/>
      <c r="IK7" s="849"/>
      <c r="IL7" s="849"/>
      <c r="IM7" s="849"/>
      <c r="IN7" s="849"/>
      <c r="IO7" s="849"/>
      <c r="IP7" s="849"/>
      <c r="IQ7" s="849"/>
      <c r="IR7" s="849"/>
      <c r="IS7" s="849"/>
      <c r="IT7" s="849"/>
    </row>
    <row r="8" spans="1:254" s="754" customFormat="1" ht="15">
      <c r="A8" s="792"/>
      <c r="B8" s="793"/>
      <c r="C8" s="793"/>
      <c r="D8" s="793"/>
      <c r="E8" s="793"/>
      <c r="F8" s="794"/>
      <c r="G8" s="795"/>
      <c r="H8" s="795"/>
      <c r="I8" s="796"/>
      <c r="J8" s="794"/>
      <c r="K8" s="75"/>
      <c r="L8" s="797"/>
      <c r="M8" s="797"/>
      <c r="N8" s="797"/>
      <c r="O8" s="798"/>
      <c r="P8" s="554"/>
      <c r="Q8" s="554"/>
      <c r="R8" s="1013"/>
    </row>
    <row r="9" spans="1:254" s="754" customFormat="1" ht="20.25">
      <c r="A9" s="66" t="s">
        <v>581</v>
      </c>
      <c r="B9" s="799"/>
      <c r="C9" s="800"/>
      <c r="D9" s="800"/>
      <c r="E9" s="800"/>
      <c r="F9" s="801"/>
      <c r="G9" s="801"/>
      <c r="H9" s="801"/>
      <c r="I9" s="802"/>
      <c r="J9" s="803"/>
      <c r="K9" s="804"/>
      <c r="L9" s="804"/>
      <c r="M9" s="614"/>
      <c r="N9" s="804"/>
      <c r="O9" s="804"/>
      <c r="P9" s="554"/>
      <c r="Q9" s="554"/>
      <c r="R9" s="1013"/>
    </row>
    <row r="10" spans="1:254" s="754" customFormat="1" ht="7.5" customHeight="1">
      <c r="A10" s="66"/>
      <c r="B10" s="836"/>
      <c r="C10" s="800"/>
      <c r="D10" s="800"/>
      <c r="E10" s="800"/>
      <c r="F10" s="838"/>
      <c r="G10" s="838"/>
      <c r="H10" s="837"/>
      <c r="I10" s="837"/>
      <c r="J10" s="838"/>
      <c r="K10" s="839"/>
      <c r="L10" s="839"/>
      <c r="M10" s="839"/>
      <c r="N10" s="839"/>
      <c r="O10" s="88"/>
      <c r="P10" s="554"/>
      <c r="Q10" s="554"/>
      <c r="R10" s="1013"/>
    </row>
    <row r="11" spans="1:254">
      <c r="A11" s="760"/>
      <c r="B11" s="634"/>
      <c r="C11" s="634"/>
      <c r="D11" s="634"/>
      <c r="E11" s="634"/>
      <c r="F11" s="72"/>
      <c r="G11" s="72"/>
      <c r="H11" s="840"/>
      <c r="I11" s="634"/>
      <c r="J11" s="634"/>
      <c r="K11" s="634"/>
      <c r="L11" s="72"/>
      <c r="M11" s="759"/>
      <c r="N11" s="72"/>
      <c r="O11" s="759"/>
      <c r="P11" s="805"/>
      <c r="Q11" s="634"/>
      <c r="R11" s="72"/>
    </row>
    <row r="12" spans="1:254" ht="21.75" customHeight="1">
      <c r="A12" s="888" t="s">
        <v>419</v>
      </c>
      <c r="B12" s="503"/>
      <c r="C12" s="503"/>
      <c r="D12" s="503"/>
      <c r="E12" s="503"/>
      <c r="F12" s="503"/>
      <c r="G12" s="503"/>
      <c r="H12" s="503"/>
      <c r="I12" s="503"/>
      <c r="J12" s="503"/>
      <c r="K12" s="503"/>
      <c r="L12" s="503"/>
      <c r="M12" s="503"/>
      <c r="N12" s="503"/>
      <c r="O12" s="503"/>
      <c r="P12" s="503"/>
      <c r="Q12" s="503"/>
      <c r="R12" s="503"/>
    </row>
    <row r="13" spans="1:254" ht="15">
      <c r="A13" s="2617"/>
      <c r="B13" s="2617"/>
      <c r="C13" s="2617"/>
      <c r="D13" s="2617"/>
      <c r="E13" s="2617"/>
      <c r="F13" s="2617"/>
      <c r="G13" s="2617"/>
      <c r="H13" s="2617"/>
      <c r="I13" s="2617"/>
      <c r="J13" s="2617"/>
      <c r="K13" s="2617"/>
      <c r="L13" s="2617"/>
      <c r="M13" s="2617"/>
      <c r="N13" s="2617"/>
      <c r="O13" s="2617"/>
      <c r="P13" s="2617"/>
      <c r="Q13" s="2617"/>
      <c r="R13" s="2617"/>
    </row>
    <row r="14" spans="1:254" ht="15">
      <c r="A14" s="265" t="s">
        <v>612</v>
      </c>
      <c r="B14" s="515"/>
      <c r="C14" s="515"/>
      <c r="D14" s="515"/>
      <c r="E14" s="515"/>
      <c r="F14" s="515"/>
      <c r="G14" s="370"/>
      <c r="H14" s="515"/>
      <c r="I14" s="515"/>
      <c r="J14" s="515"/>
      <c r="K14" s="515"/>
      <c r="L14" s="515"/>
      <c r="M14" s="515"/>
      <c r="N14" s="515"/>
      <c r="O14" s="515"/>
      <c r="P14" s="515"/>
      <c r="Q14" s="515"/>
      <c r="R14" s="335"/>
    </row>
    <row r="15" spans="1:254" ht="15">
      <c r="A15" s="266" t="s">
        <v>357</v>
      </c>
      <c r="B15" s="261"/>
      <c r="C15" s="261"/>
      <c r="D15" s="261"/>
      <c r="E15" s="261"/>
      <c r="F15" s="261"/>
      <c r="G15" s="371"/>
      <c r="H15" s="261"/>
      <c r="I15" s="261"/>
      <c r="J15" s="261"/>
      <c r="K15" s="261"/>
      <c r="L15" s="261"/>
      <c r="M15" s="261"/>
      <c r="N15" s="261"/>
      <c r="O15" s="261"/>
      <c r="P15" s="261"/>
      <c r="Q15" s="261"/>
      <c r="R15" s="1044"/>
    </row>
    <row r="16" spans="1:254" ht="29.25" customHeight="1">
      <c r="A16" s="257" t="s">
        <v>211</v>
      </c>
      <c r="B16" s="276"/>
      <c r="C16" s="92"/>
      <c r="D16" s="92"/>
      <c r="E16" s="92"/>
      <c r="F16" s="267" t="str">
        <f>IF('PR_Programmatic Progress_1A'!D17="","",'PR_Programmatic Progress_1A'!D17)</f>
        <v/>
      </c>
      <c r="G16" s="372"/>
      <c r="H16" s="272" t="s">
        <v>607</v>
      </c>
      <c r="I16" s="267" t="str">
        <f>IF('PR_Programmatic Progress_1A'!F17="","",'PR_Programmatic Progress_1A'!F17)</f>
        <v/>
      </c>
      <c r="J16" s="268"/>
      <c r="K16" s="666" t="s">
        <v>390</v>
      </c>
      <c r="L16" s="642"/>
      <c r="M16" s="437">
        <f>+'PR_Disbursement Request_5B'!K16</f>
        <v>0</v>
      </c>
      <c r="N16" s="642"/>
      <c r="O16" s="665" t="s">
        <v>103</v>
      </c>
      <c r="P16" s="442">
        <f>+'PR_Disbursement Request_5B'!N16</f>
        <v>0</v>
      </c>
      <c r="Q16" s="443"/>
      <c r="R16" s="1045"/>
    </row>
    <row r="17" spans="1:18" ht="10.5" customHeight="1">
      <c r="A17" s="354"/>
      <c r="B17" s="354"/>
      <c r="C17" s="92"/>
      <c r="D17" s="92"/>
      <c r="E17" s="92"/>
      <c r="F17" s="375"/>
      <c r="G17" s="372"/>
      <c r="H17" s="372"/>
      <c r="I17" s="389"/>
      <c r="J17" s="353"/>
      <c r="K17" s="666"/>
      <c r="L17" s="643"/>
      <c r="M17" s="438"/>
      <c r="N17" s="643"/>
      <c r="O17" s="383"/>
      <c r="P17" s="444"/>
      <c r="Q17" s="445"/>
      <c r="R17" s="1046"/>
    </row>
    <row r="18" spans="1:18" ht="29.25" customHeight="1">
      <c r="A18" s="276"/>
      <c r="B18" s="276"/>
      <c r="C18" s="92"/>
      <c r="D18" s="92"/>
      <c r="E18" s="92"/>
      <c r="F18" s="375"/>
      <c r="G18" s="373"/>
      <c r="H18" s="273"/>
      <c r="I18" s="388"/>
      <c r="J18" s="268"/>
      <c r="K18" s="666" t="s">
        <v>395</v>
      </c>
      <c r="L18" s="643"/>
      <c r="M18" s="439">
        <v>0</v>
      </c>
      <c r="N18" s="643"/>
      <c r="O18" s="383" t="s">
        <v>104</v>
      </c>
      <c r="P18" s="439">
        <v>0</v>
      </c>
      <c r="Q18" s="443"/>
      <c r="R18" s="451"/>
    </row>
    <row r="19" spans="1:18" ht="14.25">
      <c r="A19" s="257" t="s">
        <v>280</v>
      </c>
      <c r="B19" s="276"/>
      <c r="C19" s="709"/>
      <c r="D19" s="709"/>
      <c r="E19" s="709"/>
      <c r="F19" s="275"/>
      <c r="G19" s="374"/>
      <c r="H19" s="263"/>
      <c r="I19" s="274"/>
      <c r="J19" s="268"/>
      <c r="K19" s="1280"/>
      <c r="L19" s="270"/>
      <c r="M19" s="440"/>
      <c r="N19" s="270"/>
      <c r="O19" s="1281"/>
      <c r="P19" s="446"/>
      <c r="Q19" s="447"/>
    </row>
    <row r="20" spans="1:18" ht="28.5" customHeight="1">
      <c r="A20" s="1186" t="s">
        <v>271</v>
      </c>
      <c r="B20" s="276"/>
      <c r="C20" s="92"/>
      <c r="D20" s="92"/>
      <c r="E20" s="92"/>
      <c r="F20" s="267" t="str">
        <f>IF(I16="","",I16+1)</f>
        <v/>
      </c>
      <c r="G20" s="374"/>
      <c r="H20" s="271" t="s">
        <v>607</v>
      </c>
      <c r="I20" s="267" t="str">
        <f>IF(F20="","",DATE(YEAR(F20),MONTH(F20)+3,DAY(F20)-1))</f>
        <v/>
      </c>
      <c r="J20" s="268"/>
      <c r="K20" s="666" t="s">
        <v>390</v>
      </c>
      <c r="L20" s="644"/>
      <c r="M20" s="441">
        <f>+'PR_Disbursement Request_5B'!K18</f>
        <v>0</v>
      </c>
      <c r="N20" s="644"/>
      <c r="O20" s="1282" t="s">
        <v>103</v>
      </c>
      <c r="P20" s="441">
        <f>+'PR_Disbursement Request_5B'!N18</f>
        <v>0</v>
      </c>
      <c r="Q20" s="448"/>
    </row>
    <row r="21" spans="1:18" ht="19.5" customHeight="1">
      <c r="A21" s="837"/>
      <c r="B21" s="353"/>
      <c r="C21" s="350"/>
      <c r="D21" s="350"/>
      <c r="E21" s="350"/>
      <c r="F21" s="375"/>
      <c r="G21" s="372"/>
      <c r="H21" s="372"/>
      <c r="I21" s="389"/>
      <c r="J21" s="353"/>
      <c r="K21" s="666"/>
      <c r="L21" s="643"/>
      <c r="M21" s="438"/>
      <c r="N21" s="643"/>
      <c r="O21" s="383"/>
      <c r="P21" s="444"/>
      <c r="Q21" s="449"/>
      <c r="R21" s="1176" t="s">
        <v>553</v>
      </c>
    </row>
    <row r="22" spans="1:18" ht="32.25" customHeight="1">
      <c r="B22" s="268"/>
      <c r="C22" s="353"/>
      <c r="D22" s="353"/>
      <c r="E22" s="353"/>
      <c r="F22" s="268"/>
      <c r="G22" s="268"/>
      <c r="H22" s="268"/>
      <c r="I22" s="268"/>
      <c r="J22" s="268"/>
      <c r="K22" s="666" t="s">
        <v>395</v>
      </c>
      <c r="L22" s="643"/>
      <c r="M22" s="439">
        <v>0</v>
      </c>
      <c r="N22" s="643"/>
      <c r="O22" s="383" t="s">
        <v>104</v>
      </c>
      <c r="P22" s="439">
        <v>0</v>
      </c>
      <c r="Q22" s="450"/>
      <c r="R22" s="1172">
        <f>P16+P20+P26</f>
        <v>0</v>
      </c>
    </row>
    <row r="23" spans="1:18" s="800" customFormat="1" ht="33" customHeight="1">
      <c r="A23" s="257" t="s">
        <v>290</v>
      </c>
      <c r="B23" s="92"/>
      <c r="C23" s="92"/>
      <c r="D23" s="92"/>
      <c r="E23" s="92"/>
      <c r="G23" s="92"/>
      <c r="H23" s="92"/>
      <c r="I23" s="1158"/>
      <c r="J23" s="92"/>
      <c r="K23" s="92"/>
      <c r="L23" s="1159"/>
      <c r="M23" s="1160"/>
      <c r="N23" s="1161"/>
      <c r="O23" s="1159"/>
      <c r="P23" s="830"/>
      <c r="Q23" s="1162"/>
      <c r="R23" s="1283" t="s">
        <v>554</v>
      </c>
    </row>
    <row r="24" spans="1:18" s="800" customFormat="1" ht="31.5" customHeight="1">
      <c r="A24" s="244"/>
      <c r="B24" s="92"/>
      <c r="C24" s="1183"/>
      <c r="D24" s="1166"/>
      <c r="E24" s="1166"/>
      <c r="F24" s="1158"/>
      <c r="G24" s="1158"/>
      <c r="H24" s="92"/>
      <c r="I24" s="92"/>
      <c r="J24" s="1159"/>
      <c r="K24" s="1160"/>
      <c r="L24" s="1161"/>
      <c r="M24" s="1159"/>
      <c r="N24" s="830"/>
      <c r="O24" s="1162"/>
      <c r="R24" s="1172">
        <f>P18+P22+P28</f>
        <v>0</v>
      </c>
    </row>
    <row r="25" spans="1:18" s="800" customFormat="1" ht="12.75" customHeight="1">
      <c r="A25" s="837"/>
      <c r="B25" s="92"/>
      <c r="C25" s="92"/>
      <c r="D25" s="1182"/>
      <c r="E25" s="1166"/>
      <c r="F25" s="1158"/>
      <c r="G25" s="1158"/>
      <c r="H25" s="92"/>
      <c r="I25" s="92"/>
      <c r="J25" s="1159"/>
      <c r="K25" s="1160"/>
      <c r="L25" s="1161"/>
      <c r="M25" s="1159"/>
      <c r="N25" s="830"/>
      <c r="O25" s="1162"/>
      <c r="R25" s="1162"/>
    </row>
    <row r="26" spans="1:18" s="800" customFormat="1" ht="27.75" customHeight="1">
      <c r="A26" s="837" t="s">
        <v>272</v>
      </c>
      <c r="B26" s="92"/>
      <c r="C26" s="92"/>
      <c r="D26" s="92"/>
      <c r="E26" s="92"/>
      <c r="F26" s="334" t="str">
        <f>IF(I20="","",I20+1)</f>
        <v/>
      </c>
      <c r="G26" s="92"/>
      <c r="H26" s="354" t="s">
        <v>607</v>
      </c>
      <c r="I26" s="1164" t="str">
        <f>'PR_Disbursement Request_5B'!H22</f>
        <v/>
      </c>
      <c r="J26" s="92"/>
      <c r="K26" s="92" t="s">
        <v>394</v>
      </c>
      <c r="L26" s="92"/>
      <c r="M26" s="1173">
        <f>'PR_Disbursement Request_5B'!K22</f>
        <v>0</v>
      </c>
      <c r="N26" s="1159"/>
      <c r="O26" s="1160" t="s">
        <v>623</v>
      </c>
      <c r="P26" s="1174">
        <f>'PR_Disbursement Request_5B'!N22</f>
        <v>0</v>
      </c>
      <c r="Q26" s="830"/>
      <c r="R26" s="1162"/>
    </row>
    <row r="27" spans="1:18" ht="12" customHeight="1">
      <c r="A27" s="1163"/>
      <c r="B27" s="350"/>
      <c r="C27" s="350"/>
      <c r="D27" s="350"/>
      <c r="E27" s="350"/>
      <c r="F27" s="350"/>
      <c r="G27" s="350"/>
      <c r="H27" s="350"/>
      <c r="I27" s="666"/>
      <c r="J27" s="643"/>
      <c r="K27" s="1165"/>
      <c r="L27" s="643"/>
      <c r="M27" s="383"/>
      <c r="N27" s="1165"/>
      <c r="O27" s="450"/>
      <c r="P27" s="1162"/>
    </row>
    <row r="28" spans="1:18" ht="32.25" customHeight="1">
      <c r="A28" s="837"/>
      <c r="B28" s="350"/>
      <c r="C28" s="350"/>
      <c r="D28" s="350"/>
      <c r="E28" s="350"/>
      <c r="F28" s="350"/>
      <c r="G28" s="350"/>
      <c r="H28" s="350"/>
      <c r="I28" s="350"/>
      <c r="J28" s="350"/>
      <c r="K28" s="666" t="s">
        <v>395</v>
      </c>
      <c r="L28" s="643"/>
      <c r="M28" s="439">
        <v>0</v>
      </c>
      <c r="N28" s="643"/>
      <c r="O28" s="383" t="s">
        <v>104</v>
      </c>
      <c r="P28" s="439">
        <v>0</v>
      </c>
      <c r="Q28" s="450"/>
      <c r="R28" s="1162"/>
    </row>
    <row r="29" spans="1:18" ht="9.75" customHeight="1">
      <c r="A29" s="837"/>
      <c r="B29" s="350"/>
      <c r="C29" s="350"/>
      <c r="D29" s="350"/>
      <c r="E29" s="350"/>
      <c r="F29" s="350"/>
      <c r="G29" s="350"/>
      <c r="H29" s="350"/>
      <c r="I29" s="350"/>
      <c r="J29" s="350"/>
      <c r="K29" s="666"/>
      <c r="L29" s="643"/>
      <c r="M29" s="1165"/>
      <c r="N29" s="643"/>
      <c r="O29" s="383"/>
      <c r="P29" s="1165"/>
      <c r="Q29" s="450"/>
      <c r="R29" s="1162"/>
    </row>
    <row r="30" spans="1:18" s="1171" customFormat="1" ht="31.5" customHeight="1">
      <c r="A30" s="2613" t="s">
        <v>291</v>
      </c>
      <c r="B30" s="2613"/>
      <c r="C30" s="2613"/>
      <c r="D30" s="2613"/>
      <c r="E30" s="2613"/>
      <c r="F30" s="2613"/>
      <c r="G30" s="2613"/>
      <c r="H30" s="2613"/>
      <c r="I30" s="2613"/>
      <c r="J30" s="2613"/>
      <c r="K30" s="2613"/>
      <c r="L30" s="2613"/>
      <c r="M30" s="2613"/>
      <c r="N30" s="2613"/>
      <c r="O30" s="2613"/>
      <c r="P30" s="2613"/>
      <c r="Q30" s="2614"/>
      <c r="R30" s="1170"/>
    </row>
    <row r="31" spans="1:18" s="1171" customFormat="1" ht="33" customHeight="1">
      <c r="A31" s="2613" t="s">
        <v>273</v>
      </c>
      <c r="B31" s="2613"/>
      <c r="C31" s="2613"/>
      <c r="D31" s="2613"/>
      <c r="E31" s="2613"/>
      <c r="F31" s="2613"/>
      <c r="G31" s="2613"/>
      <c r="H31" s="2613"/>
      <c r="I31" s="2613"/>
      <c r="J31" s="2613"/>
      <c r="K31" s="2613"/>
      <c r="L31" s="2613"/>
      <c r="M31" s="2613"/>
      <c r="N31" s="2613"/>
      <c r="O31" s="2613"/>
      <c r="P31" s="2613"/>
      <c r="Q31" s="2613"/>
      <c r="R31" s="1170"/>
    </row>
    <row r="32" spans="1:18" ht="14.25">
      <c r="A32" s="1167"/>
      <c r="B32" s="350"/>
      <c r="C32" s="350"/>
      <c r="D32" s="350"/>
      <c r="E32" s="350"/>
      <c r="F32" s="350"/>
      <c r="G32" s="350"/>
      <c r="H32" s="1168"/>
      <c r="I32" s="1168"/>
      <c r="J32" s="1168"/>
      <c r="K32" s="350"/>
      <c r="L32" s="1169"/>
      <c r="M32" s="1169"/>
      <c r="N32" s="1169"/>
      <c r="O32" s="1169"/>
      <c r="P32" s="1169"/>
      <c r="Q32" s="1169"/>
      <c r="R32" s="1169"/>
    </row>
    <row r="33" spans="1:18" ht="20.25" customHeight="1">
      <c r="A33" s="2640" t="s">
        <v>502</v>
      </c>
      <c r="B33" s="2641"/>
      <c r="C33" s="2641"/>
      <c r="D33" s="2641"/>
      <c r="E33" s="2641"/>
      <c r="F33" s="2641"/>
      <c r="G33" s="2642"/>
      <c r="H33" s="2618" t="str">
        <f>IF('PR_Disbursement Request_5B'!I27="","",'PR_Disbursement Request_5B'!I27)</f>
        <v/>
      </c>
      <c r="I33" s="2619"/>
      <c r="J33" s="2619"/>
      <c r="K33" s="2619"/>
      <c r="L33" s="2619"/>
      <c r="M33" s="2619"/>
      <c r="N33" s="2619"/>
      <c r="O33" s="2619"/>
      <c r="P33" s="2619"/>
      <c r="Q33" s="2619"/>
      <c r="R33" s="2620"/>
    </row>
    <row r="34" spans="1:18" ht="93" customHeight="1">
      <c r="A34" s="2643"/>
      <c r="B34" s="2644"/>
      <c r="C34" s="2644"/>
      <c r="D34" s="2644"/>
      <c r="E34" s="2644"/>
      <c r="F34" s="2644"/>
      <c r="G34" s="2645"/>
      <c r="H34" s="2621"/>
      <c r="I34" s="2622"/>
      <c r="J34" s="2622"/>
      <c r="K34" s="2622"/>
      <c r="L34" s="2622"/>
      <c r="M34" s="2622"/>
      <c r="N34" s="2622"/>
      <c r="O34" s="2622"/>
      <c r="P34" s="2622"/>
      <c r="Q34" s="2622"/>
      <c r="R34" s="2623"/>
    </row>
    <row r="35" spans="1:18" ht="152.25" customHeight="1">
      <c r="A35" s="2629" t="s">
        <v>328</v>
      </c>
      <c r="B35" s="2630"/>
      <c r="C35" s="2630"/>
      <c r="D35" s="2630"/>
      <c r="E35" s="2630"/>
      <c r="F35" s="2630"/>
      <c r="G35" s="2631"/>
      <c r="H35" s="2101"/>
      <c r="I35" s="2102"/>
      <c r="J35" s="2102"/>
      <c r="K35" s="2102"/>
      <c r="L35" s="2102"/>
      <c r="M35" s="2102"/>
      <c r="N35" s="2102"/>
      <c r="O35" s="2102"/>
      <c r="P35" s="2102"/>
      <c r="Q35" s="2102"/>
      <c r="R35" s="2103"/>
    </row>
    <row r="36" spans="1:18" ht="97.5" customHeight="1">
      <c r="A36" s="2632"/>
      <c r="B36" s="2633"/>
      <c r="C36" s="2633"/>
      <c r="D36" s="2633"/>
      <c r="E36" s="2633"/>
      <c r="F36" s="2633"/>
      <c r="G36" s="2634"/>
      <c r="H36" s="2107"/>
      <c r="I36" s="2108"/>
      <c r="J36" s="2108"/>
      <c r="K36" s="2108"/>
      <c r="L36" s="2108"/>
      <c r="M36" s="2108"/>
      <c r="N36" s="2108"/>
      <c r="O36" s="2108"/>
      <c r="P36" s="2108"/>
      <c r="Q36" s="2108"/>
      <c r="R36" s="2109"/>
    </row>
    <row r="37" spans="1:18" ht="14.25">
      <c r="A37" s="281"/>
      <c r="B37" s="281"/>
      <c r="C37" s="281"/>
      <c r="D37" s="281"/>
      <c r="E37" s="281"/>
      <c r="F37" s="281"/>
      <c r="G37" s="281"/>
      <c r="H37" s="281"/>
      <c r="I37" s="281"/>
      <c r="J37" s="281"/>
      <c r="K37" s="281"/>
      <c r="L37" s="281"/>
      <c r="M37" s="1306"/>
      <c r="N37" s="281"/>
      <c r="O37" s="281"/>
      <c r="P37" s="1308"/>
      <c r="Q37" s="1306"/>
      <c r="R37" s="1309"/>
    </row>
    <row r="38" spans="1:18" ht="14.25">
      <c r="A38" s="350"/>
      <c r="B38" s="350"/>
      <c r="C38" s="350"/>
      <c r="D38" s="350"/>
      <c r="E38" s="350"/>
      <c r="F38" s="350"/>
      <c r="G38" s="350"/>
      <c r="H38" s="350"/>
      <c r="I38" s="350"/>
      <c r="J38" s="1307"/>
      <c r="K38" s="1307"/>
      <c r="L38" s="1307"/>
      <c r="M38" s="1307"/>
      <c r="N38" s="1307"/>
      <c r="O38" s="1307"/>
      <c r="P38" s="1307"/>
      <c r="Q38" s="1307"/>
      <c r="R38" s="1307"/>
    </row>
    <row r="39" spans="1:18" ht="27.75" customHeight="1">
      <c r="A39" s="2635" t="s">
        <v>605</v>
      </c>
      <c r="B39" s="2656" t="s">
        <v>251</v>
      </c>
      <c r="C39" s="2657"/>
      <c r="D39" s="2657"/>
      <c r="E39" s="2657"/>
      <c r="F39" s="2657"/>
      <c r="G39" s="2657"/>
      <c r="H39" s="2657"/>
      <c r="I39" s="2658"/>
      <c r="J39" s="459" t="s">
        <v>100</v>
      </c>
      <c r="K39" s="1284" t="s">
        <v>101</v>
      </c>
      <c r="L39" s="2670" t="s">
        <v>575</v>
      </c>
      <c r="M39" s="2671"/>
      <c r="N39" s="2671"/>
      <c r="O39" s="2671"/>
      <c r="P39" s="2671"/>
      <c r="Q39" s="2671"/>
      <c r="R39" s="2672"/>
    </row>
    <row r="40" spans="1:18" ht="42" customHeight="1">
      <c r="A40" s="2636"/>
      <c r="B40" s="2659"/>
      <c r="C40" s="2660"/>
      <c r="D40" s="2660"/>
      <c r="E40" s="2660"/>
      <c r="F40" s="2660"/>
      <c r="G40" s="2660"/>
      <c r="H40" s="2660"/>
      <c r="I40" s="2661"/>
      <c r="J40" s="787">
        <f>+'LFA_Cash Reconciliation_5A'!F24</f>
        <v>172255.43</v>
      </c>
      <c r="K40" s="787">
        <f>+'LFA_Cash Reconciliation_5A'!G24</f>
        <v>14554</v>
      </c>
      <c r="L40" s="2342" t="s">
        <v>1068</v>
      </c>
      <c r="M40" s="2624"/>
      <c r="N40" s="2624"/>
      <c r="O40" s="2624"/>
      <c r="P40" s="2624"/>
      <c r="Q40" s="2624"/>
      <c r="R40" s="2625"/>
    </row>
    <row r="41" spans="1:18" ht="39" customHeight="1">
      <c r="A41" s="2636"/>
      <c r="B41" s="2668" t="s">
        <v>232</v>
      </c>
      <c r="C41" s="2669"/>
      <c r="D41" s="2669"/>
      <c r="E41" s="2669"/>
      <c r="F41" s="2669"/>
      <c r="G41" s="2669"/>
      <c r="H41" s="2669"/>
      <c r="I41" s="2669"/>
      <c r="J41" s="788">
        <f>+'PR_Disbursement Request_5B'!N33</f>
        <v>0</v>
      </c>
      <c r="K41" s="789">
        <v>0</v>
      </c>
      <c r="L41" s="2626"/>
      <c r="M41" s="2627"/>
      <c r="N41" s="2627"/>
      <c r="O41" s="2627"/>
      <c r="P41" s="2627"/>
      <c r="Q41" s="2627"/>
      <c r="R41" s="2628"/>
    </row>
    <row r="42" spans="1:18" ht="39" customHeight="1">
      <c r="A42" s="2637"/>
      <c r="B42" s="2638" t="s">
        <v>233</v>
      </c>
      <c r="C42" s="2639"/>
      <c r="D42" s="2639"/>
      <c r="E42" s="2639"/>
      <c r="F42" s="2639"/>
      <c r="G42" s="2639"/>
      <c r="H42" s="2639"/>
      <c r="I42" s="2639"/>
      <c r="J42" s="790">
        <f>+'PR_Disbursement Request_5B'!N34</f>
        <v>0</v>
      </c>
      <c r="K42" s="791">
        <v>0</v>
      </c>
      <c r="L42" s="2626"/>
      <c r="M42" s="2627"/>
      <c r="N42" s="2627"/>
      <c r="O42" s="2627"/>
      <c r="P42" s="2627"/>
      <c r="Q42" s="2627"/>
      <c r="R42" s="2628"/>
    </row>
    <row r="43" spans="1:18" ht="29.25" customHeight="1">
      <c r="A43" s="460"/>
      <c r="B43" s="458"/>
      <c r="C43" s="458"/>
      <c r="D43" s="458"/>
      <c r="E43" s="458"/>
      <c r="F43" s="458"/>
      <c r="G43" s="458"/>
      <c r="H43" s="458"/>
      <c r="I43" s="458"/>
      <c r="J43" s="459" t="s">
        <v>105</v>
      </c>
      <c r="K43" s="1284" t="s">
        <v>106</v>
      </c>
      <c r="L43" s="2673"/>
      <c r="M43" s="2674"/>
      <c r="N43" s="2674"/>
      <c r="O43" s="2674"/>
      <c r="P43" s="2674"/>
      <c r="Q43" s="2674"/>
      <c r="R43" s="2675"/>
    </row>
    <row r="44" spans="1:18" ht="65.25" customHeight="1">
      <c r="A44" s="2646" t="s">
        <v>234</v>
      </c>
      <c r="B44" s="2647"/>
      <c r="C44" s="2647"/>
      <c r="D44" s="2647"/>
      <c r="E44" s="2647"/>
      <c r="F44" s="2647"/>
      <c r="G44" s="2647"/>
      <c r="H44" s="2647"/>
      <c r="I44" s="2647"/>
      <c r="J44" s="484">
        <f>IF(R22=0,0,IF(R22-J40-J41-J42&lt;0,0,R22-J40-J41-J42))</f>
        <v>0</v>
      </c>
      <c r="K44" s="484">
        <f>IF(R24=0,0,IF(R24-K40-K41-K42&lt;0,0,R24-K40-K41-K42))</f>
        <v>0</v>
      </c>
      <c r="L44" s="2662"/>
      <c r="M44" s="2663"/>
      <c r="N44" s="2663"/>
      <c r="O44" s="2663"/>
      <c r="P44" s="2663"/>
      <c r="Q44" s="2663"/>
      <c r="R44" s="2664"/>
    </row>
    <row r="45" spans="1:18" ht="7.5" customHeight="1">
      <c r="A45" s="705"/>
      <c r="B45" s="664"/>
      <c r="C45" s="667"/>
      <c r="D45" s="667"/>
      <c r="E45" s="667"/>
      <c r="F45" s="664"/>
      <c r="G45" s="706"/>
      <c r="H45" s="664"/>
      <c r="I45" s="667"/>
      <c r="J45" s="277"/>
      <c r="K45" s="278"/>
      <c r="L45" s="25"/>
      <c r="M45" s="376"/>
      <c r="N45" s="25"/>
      <c r="O45" s="269"/>
      <c r="P45" s="280"/>
      <c r="Q45" s="25"/>
      <c r="R45" s="269"/>
    </row>
    <row r="46" spans="1:18" ht="26.25" customHeight="1">
      <c r="A46" s="707" t="s">
        <v>215</v>
      </c>
      <c r="B46" s="708"/>
      <c r="C46" s="708"/>
      <c r="D46" s="708"/>
      <c r="E46" s="708"/>
      <c r="F46" s="317"/>
      <c r="G46" s="709"/>
      <c r="H46" s="325"/>
      <c r="I46" s="332"/>
      <c r="J46" s="1055" t="s">
        <v>610</v>
      </c>
      <c r="K46" s="391"/>
      <c r="L46" s="255"/>
      <c r="M46" s="391"/>
      <c r="N46" s="255"/>
      <c r="O46" s="255"/>
      <c r="P46" s="254"/>
      <c r="Q46" s="255"/>
      <c r="R46" s="1047"/>
    </row>
    <row r="47" spans="1:18" ht="26.25" customHeight="1">
      <c r="A47" s="1289" t="s">
        <v>316</v>
      </c>
      <c r="B47" s="705"/>
      <c r="C47" s="705"/>
      <c r="D47" s="92"/>
      <c r="E47" s="92"/>
      <c r="F47" s="351"/>
      <c r="G47" s="351"/>
      <c r="H47" s="711"/>
      <c r="I47" s="712"/>
      <c r="J47" s="1066"/>
      <c r="K47" s="3"/>
      <c r="L47" s="255"/>
      <c r="M47" s="255"/>
      <c r="N47" s="255"/>
      <c r="O47" s="255"/>
      <c r="P47" s="254"/>
      <c r="Q47" s="255"/>
      <c r="R47" s="1047"/>
    </row>
    <row r="48" spans="1:18" ht="27" customHeight="1">
      <c r="A48" s="349"/>
      <c r="B48" s="350"/>
      <c r="C48" s="350"/>
      <c r="D48" s="350"/>
      <c r="E48" s="350"/>
      <c r="F48" s="1187" t="s">
        <v>401</v>
      </c>
      <c r="G48" s="351"/>
      <c r="H48" s="1285" t="s">
        <v>402</v>
      </c>
      <c r="I48" s="1265"/>
      <c r="J48" s="2665" t="s">
        <v>318</v>
      </c>
      <c r="K48" s="2666"/>
      <c r="L48" s="2666"/>
      <c r="M48" s="2666"/>
      <c r="N48" s="2666"/>
      <c r="O48" s="2667"/>
      <c r="P48" s="254"/>
      <c r="Q48" s="255"/>
      <c r="R48" s="1047"/>
    </row>
    <row r="49" spans="1:18" ht="10.5" customHeight="1" thickBot="1">
      <c r="A49" s="349"/>
      <c r="B49" s="350"/>
      <c r="C49" s="350"/>
      <c r="D49" s="350"/>
      <c r="E49" s="350"/>
      <c r="F49" s="351"/>
      <c r="G49" s="351"/>
      <c r="H49" s="645"/>
      <c r="I49" s="352"/>
      <c r="J49" s="282"/>
      <c r="K49" s="72"/>
      <c r="L49" s="358"/>
      <c r="M49" s="358"/>
      <c r="N49" s="358"/>
      <c r="O49" s="358"/>
      <c r="P49" s="348"/>
      <c r="Q49" s="353"/>
      <c r="R49" s="1048"/>
    </row>
    <row r="50" spans="1:18" ht="26.25" customHeight="1" thickBot="1">
      <c r="A50" s="264"/>
      <c r="B50" s="1286" t="s">
        <v>573</v>
      </c>
      <c r="C50" s="1286"/>
      <c r="D50" s="1286"/>
      <c r="E50" s="1286"/>
      <c r="F50" s="779">
        <f>+'PR_Disbursement Request_5B'!G41</f>
        <v>45.7</v>
      </c>
      <c r="G50" s="780"/>
      <c r="H50" s="1065">
        <v>45.37</v>
      </c>
      <c r="I50" s="355"/>
      <c r="J50" s="2648" t="s">
        <v>1060</v>
      </c>
      <c r="K50" s="2649"/>
      <c r="L50" s="2649"/>
      <c r="M50" s="2649"/>
      <c r="N50" s="2649"/>
      <c r="O50" s="2650"/>
      <c r="P50" s="262"/>
      <c r="Q50" s="254"/>
      <c r="R50" s="1049"/>
    </row>
    <row r="51" spans="1:18" ht="8.25" customHeight="1" thickBot="1">
      <c r="A51" s="346"/>
      <c r="B51" s="1287"/>
      <c r="C51" s="1287"/>
      <c r="D51" s="1287"/>
      <c r="E51" s="1287"/>
      <c r="F51" s="781"/>
      <c r="G51" s="781"/>
      <c r="H51" s="782"/>
      <c r="I51" s="510"/>
      <c r="J51" s="2651"/>
      <c r="K51" s="2105"/>
      <c r="L51" s="2105"/>
      <c r="M51" s="2105"/>
      <c r="N51" s="2105"/>
      <c r="O51" s="2652"/>
      <c r="P51" s="357"/>
      <c r="Q51" s="348"/>
      <c r="R51" s="1050"/>
    </row>
    <row r="52" spans="1:18" ht="26.25" customHeight="1" thickBot="1">
      <c r="A52" s="205"/>
      <c r="B52" s="1286" t="s">
        <v>574</v>
      </c>
      <c r="C52" s="1286"/>
      <c r="D52" s="1286"/>
      <c r="E52" s="1286"/>
      <c r="F52" s="783">
        <f>+'PR_Disbursement Request_5B'!G43</f>
        <v>45.7</v>
      </c>
      <c r="G52" s="780"/>
      <c r="H52" s="1065">
        <v>45.37</v>
      </c>
      <c r="I52" s="356"/>
      <c r="J52" s="2651"/>
      <c r="K52" s="2105"/>
      <c r="L52" s="2105"/>
      <c r="M52" s="2105"/>
      <c r="N52" s="2105"/>
      <c r="O52" s="2652"/>
      <c r="P52" s="262"/>
      <c r="Q52" s="254"/>
      <c r="R52" s="1049"/>
    </row>
    <row r="53" spans="1:18" ht="8.25" customHeight="1" thickBot="1">
      <c r="A53" s="21"/>
      <c r="B53" s="1288"/>
      <c r="C53" s="1288"/>
      <c r="D53" s="1288"/>
      <c r="E53" s="1288"/>
      <c r="F53" s="784"/>
      <c r="G53" s="785"/>
      <c r="H53" s="782"/>
      <c r="I53" s="384"/>
      <c r="J53" s="2651"/>
      <c r="K53" s="2105"/>
      <c r="L53" s="2105"/>
      <c r="M53" s="2105"/>
      <c r="N53" s="2105"/>
      <c r="O53" s="2652"/>
      <c r="P53" s="262"/>
      <c r="Q53" s="254"/>
      <c r="R53" s="1049"/>
    </row>
    <row r="54" spans="1:18" ht="26.25" customHeight="1" thickBot="1">
      <c r="A54" s="1051"/>
      <c r="B54" s="2084" t="s">
        <v>397</v>
      </c>
      <c r="C54" s="2085"/>
      <c r="D54" s="2085"/>
      <c r="E54" s="2085"/>
      <c r="F54" s="783">
        <f>+'PR_Disbursement Request_5B'!G45</f>
        <v>45.7</v>
      </c>
      <c r="G54" s="786"/>
      <c r="H54" s="1310">
        <v>45.37</v>
      </c>
      <c r="I54" s="1052"/>
      <c r="J54" s="2653"/>
      <c r="K54" s="2654"/>
      <c r="L54" s="2654"/>
      <c r="M54" s="2654"/>
      <c r="N54" s="2654"/>
      <c r="O54" s="2655"/>
      <c r="P54" s="1053"/>
      <c r="Q54" s="282"/>
      <c r="R54" s="1054"/>
    </row>
    <row r="55" spans="1:18" ht="12" customHeight="1">
      <c r="A55" s="220"/>
      <c r="B55" s="220"/>
      <c r="C55" s="220"/>
      <c r="D55" s="220"/>
      <c r="E55" s="220"/>
      <c r="F55" s="220"/>
      <c r="G55" s="220"/>
      <c r="H55" s="220"/>
      <c r="I55" s="347"/>
      <c r="J55" s="347"/>
      <c r="K55" s="347"/>
      <c r="L55" s="347"/>
      <c r="M55" s="347"/>
      <c r="N55" s="347"/>
      <c r="O55" s="347"/>
      <c r="P55" s="347"/>
      <c r="Q55" s="347"/>
      <c r="R55" s="347"/>
    </row>
  </sheetData>
  <sheetProtection password="92D1" sheet="1" formatCells="0" formatColumns="0" formatRows="0"/>
  <mergeCells count="27">
    <mergeCell ref="A44:I44"/>
    <mergeCell ref="B54:E54"/>
    <mergeCell ref="J50:O54"/>
    <mergeCell ref="B39:I40"/>
    <mergeCell ref="L44:R44"/>
    <mergeCell ref="J48:O48"/>
    <mergeCell ref="B41:I41"/>
    <mergeCell ref="L39:R39"/>
    <mergeCell ref="L41:R41"/>
    <mergeCell ref="L43:R43"/>
    <mergeCell ref="H33:R34"/>
    <mergeCell ref="L40:R40"/>
    <mergeCell ref="H35:R36"/>
    <mergeCell ref="L42:R42"/>
    <mergeCell ref="A35:G36"/>
    <mergeCell ref="A39:A42"/>
    <mergeCell ref="B42:I42"/>
    <mergeCell ref="A33:G34"/>
    <mergeCell ref="A30:Q30"/>
    <mergeCell ref="A7:E7"/>
    <mergeCell ref="F7:J7"/>
    <mergeCell ref="A31:Q31"/>
    <mergeCell ref="A1:O1"/>
    <mergeCell ref="A3:E3"/>
    <mergeCell ref="F3:J3"/>
    <mergeCell ref="F6:J6"/>
    <mergeCell ref="A13:R13"/>
  </mergeCells>
  <phoneticPr fontId="37" type="noConversion"/>
  <conditionalFormatting sqref="F16:F18 F21">
    <cfRule type="cellIs" dxfId="11" priority="3" stopIfTrue="1" operator="equal">
      <formula>$R$5</formula>
    </cfRule>
  </conditionalFormatting>
  <conditionalFormatting sqref="I16">
    <cfRule type="cellIs" dxfId="10" priority="2" stopIfTrue="1" operator="equal">
      <formula>$R$5</formula>
    </cfRule>
  </conditionalFormatting>
  <conditionalFormatting sqref="F20">
    <cfRule type="cellIs" dxfId="9" priority="1" stopIfTrue="1" operator="equal">
      <formula>$R$5</formula>
    </cfRule>
  </conditionalFormatting>
  <dataValidations count="3">
    <dataValidation type="list" allowBlank="1" showInputMessage="1" showErrorMessage="1" sqref="J47 J49">
      <formula1>"Select,Yes,No"</formula1>
    </dataValidation>
    <dataValidation type="list" allowBlank="1" showInputMessage="1" showErrorMessage="1" sqref="J46">
      <formula1>"Select,Yes,No,N/A"</formula1>
    </dataValidation>
    <dataValidation type="list" allowBlank="1" showInputMessage="1" showErrorMessage="1" sqref="H4:H5">
      <formula1>"Select,Quarter,Semester"</formula1>
    </dataValidation>
  </dataValidations>
  <printOptions horizontalCentered="1"/>
  <pageMargins left="0.74803149606299213" right="0.74803149606299213" top="0.59055118110236227" bottom="0.59055118110236227" header="0.51181102362204722" footer="0.51181102362204722"/>
  <pageSetup paperSize="9" scale="47" fitToHeight="0" orientation="landscape" cellComments="asDisplayed" r:id="rId1"/>
  <headerFooter alignWithMargins="0">
    <oddFooter>&amp;L&amp;9&amp;F&amp;C&amp;A&amp;R&amp;9Page &amp;P of &amp;N</oddFooter>
  </headerFooter>
  <rowBreaks count="1" manualBreakCount="1">
    <brk id="37" max="18" man="1"/>
  </rowBreaks>
</worksheet>
</file>

<file path=xl/worksheets/sheet26.xml><?xml version="1.0" encoding="utf-8"?>
<worksheet xmlns="http://schemas.openxmlformats.org/spreadsheetml/2006/main" xmlns:r="http://schemas.openxmlformats.org/officeDocument/2006/relationships">
  <sheetPr>
    <tabColor indexed="40"/>
  </sheetPr>
  <dimension ref="A1"/>
  <sheetViews>
    <sheetView workbookViewId="0">
      <selection sqref="A1:N24"/>
    </sheetView>
  </sheetViews>
  <sheetFormatPr defaultRowHeight="12.75"/>
  <sheetData/>
  <customSheetViews>
    <customSheetView guid="{E26F941C-F347-432D-B4B3-73B25F002075}" state="hidden">
      <selection sqref="A1:N24"/>
      <pageMargins left="0.7" right="0.7" top="0.75" bottom="0.75" header="0.3" footer="0.3"/>
    </customSheetView>
  </customSheetViews>
  <phoneticPr fontId="35"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enableFormatConditionsCalculation="0">
    <tabColor indexed="40"/>
    <pageSetUpPr fitToPage="1"/>
  </sheetPr>
  <dimension ref="A1:X41"/>
  <sheetViews>
    <sheetView view="pageBreakPreview" topLeftCell="A15" zoomScale="90" zoomScaleNormal="75" zoomScaleSheetLayoutView="90" workbookViewId="0">
      <selection activeCell="A19" sqref="A19:K20"/>
    </sheetView>
  </sheetViews>
  <sheetFormatPr defaultRowHeight="12.75"/>
  <cols>
    <col min="1" max="1" width="21.5703125" style="69" customWidth="1"/>
    <col min="2" max="2" width="20.85546875" style="69" customWidth="1"/>
    <col min="3" max="3" width="20.5703125" style="69" customWidth="1"/>
    <col min="4" max="4" width="29.5703125" style="69" customWidth="1"/>
    <col min="5" max="5" width="18.7109375" style="69" customWidth="1"/>
    <col min="6" max="6" width="22" style="69" customWidth="1"/>
    <col min="7" max="7" width="20" style="69" customWidth="1"/>
    <col min="8" max="8" width="21.28515625" style="69" customWidth="1"/>
    <col min="9" max="9" width="6.5703125" style="69" customWidth="1"/>
    <col min="10" max="10" width="6.85546875" style="69" customWidth="1"/>
    <col min="11" max="11" width="11.42578125" style="69" customWidth="1"/>
    <col min="12" max="16384" width="9.140625" style="69"/>
  </cols>
  <sheetData>
    <row r="1" spans="1:23" ht="25.5" customHeight="1">
      <c r="A1" s="2166" t="s">
        <v>632</v>
      </c>
      <c r="B1" s="2166"/>
      <c r="C1" s="2166"/>
      <c r="D1" s="2166"/>
      <c r="E1" s="2166"/>
      <c r="F1" s="2166"/>
      <c r="G1" s="2166"/>
      <c r="H1" s="2166"/>
      <c r="I1" s="2166"/>
      <c r="J1" s="2166"/>
    </row>
    <row r="2" spans="1:23" s="14" customFormat="1" ht="27" customHeight="1" thickBot="1">
      <c r="A2" s="98" t="s">
        <v>507</v>
      </c>
      <c r="B2" s="72"/>
      <c r="C2" s="72"/>
      <c r="D2" s="72"/>
      <c r="E2" s="72"/>
      <c r="F2" s="72"/>
      <c r="G2" s="72"/>
      <c r="H2" s="72"/>
      <c r="I2" s="72"/>
      <c r="J2" s="72"/>
      <c r="K2" s="72"/>
      <c r="L2" s="69"/>
      <c r="M2" s="69"/>
      <c r="N2" s="69"/>
      <c r="O2" s="69"/>
      <c r="P2" s="69"/>
      <c r="Q2" s="69"/>
      <c r="R2" s="69"/>
      <c r="S2" s="69"/>
      <c r="T2" s="69"/>
      <c r="U2" s="69"/>
      <c r="V2" s="69"/>
      <c r="W2" s="69"/>
    </row>
    <row r="3" spans="1:23" s="220" customFormat="1" ht="18.75" customHeight="1" thickBot="1">
      <c r="A3" s="1787" t="s">
        <v>422</v>
      </c>
      <c r="B3" s="1788"/>
      <c r="C3" s="1817" t="str">
        <f>IF('LFA_Programmatic Progress_1A'!C7="","",'LFA_Programmatic Progress_1A'!C7)</f>
        <v>BTN-607-G03-H</v>
      </c>
      <c r="D3" s="1818"/>
      <c r="E3" s="1818"/>
      <c r="F3" s="1819"/>
      <c r="G3" s="73"/>
      <c r="H3" s="73"/>
      <c r="I3" s="73"/>
      <c r="J3" s="73"/>
      <c r="K3" s="73"/>
    </row>
    <row r="4" spans="1:23" s="220" customFormat="1" ht="15" customHeight="1">
      <c r="A4" s="492" t="s">
        <v>624</v>
      </c>
      <c r="B4" s="512"/>
      <c r="C4" s="53" t="s">
        <v>630</v>
      </c>
      <c r="D4" s="504" t="str">
        <f>IF('LFA_Programmatic Progress_1A'!D12="Select","",'LFA_Programmatic Progress_1A'!D12)</f>
        <v>Quarter</v>
      </c>
      <c r="E4" s="5" t="s">
        <v>631</v>
      </c>
      <c r="F4" s="47">
        <f>IF('LFA_Programmatic Progress_1A'!F12="Select","",'LFA_Programmatic Progress_1A'!F12)</f>
        <v>16</v>
      </c>
      <c r="G4" s="73"/>
      <c r="H4" s="73"/>
      <c r="I4" s="73"/>
      <c r="J4" s="73"/>
      <c r="K4" s="73"/>
    </row>
    <row r="5" spans="1:23" s="220" customFormat="1" ht="15" customHeight="1">
      <c r="A5" s="513" t="s">
        <v>625</v>
      </c>
      <c r="B5" s="40"/>
      <c r="C5" s="54" t="s">
        <v>593</v>
      </c>
      <c r="D5" s="519">
        <f>IF('LFA_Programmatic Progress_1A'!D13="","",'LFA_Programmatic Progress_1A'!D13)</f>
        <v>40848</v>
      </c>
      <c r="E5" s="5" t="s">
        <v>611</v>
      </c>
      <c r="F5" s="520">
        <f>IF('LFA_Programmatic Progress_1A'!F13="","",'LFA_Programmatic Progress_1A'!F13)</f>
        <v>40939</v>
      </c>
      <c r="G5" s="73"/>
      <c r="H5" s="73"/>
      <c r="I5" s="73"/>
      <c r="J5" s="73"/>
      <c r="K5" s="73"/>
    </row>
    <row r="6" spans="1:23" s="220" customFormat="1" ht="15" customHeight="1" thickBot="1">
      <c r="A6" s="55" t="s">
        <v>626</v>
      </c>
      <c r="B6" s="41"/>
      <c r="C6" s="1830">
        <f>IF('LFA_Programmatic Progress_1A'!C14="Select","",'LFA_Programmatic Progress_1A'!C14)</f>
        <v>16</v>
      </c>
      <c r="D6" s="1831"/>
      <c r="E6" s="1831"/>
      <c r="F6" s="1832"/>
      <c r="G6" s="73"/>
      <c r="H6" s="73"/>
      <c r="I6" s="73"/>
      <c r="J6" s="73"/>
      <c r="K6" s="73"/>
    </row>
    <row r="7" spans="1:23" ht="21" customHeight="1">
      <c r="A7" s="72"/>
      <c r="B7" s="72"/>
      <c r="C7" s="72"/>
      <c r="D7" s="72"/>
      <c r="E7" s="72"/>
      <c r="F7" s="72"/>
      <c r="G7" s="72"/>
      <c r="H7" s="72"/>
      <c r="I7" s="72"/>
      <c r="J7" s="72"/>
      <c r="K7" s="72"/>
    </row>
    <row r="8" spans="1:23" s="1022" customFormat="1" ht="28.5" customHeight="1">
      <c r="A8" s="2690" t="s">
        <v>151</v>
      </c>
      <c r="B8" s="2690"/>
      <c r="C8" s="2690"/>
      <c r="D8" s="2690"/>
      <c r="E8" s="2690"/>
      <c r="F8" s="2691"/>
      <c r="G8" s="234"/>
      <c r="H8" s="217"/>
      <c r="I8" s="217"/>
      <c r="J8" s="217"/>
      <c r="K8" s="1195"/>
    </row>
    <row r="9" spans="1:23" s="1022" customFormat="1" ht="4.5" customHeight="1" thickBot="1">
      <c r="A9" s="233"/>
      <c r="B9" s="233"/>
      <c r="C9" s="233"/>
      <c r="D9" s="233"/>
      <c r="E9" s="233"/>
      <c r="F9" s="233"/>
      <c r="G9" s="219"/>
      <c r="H9" s="219"/>
      <c r="I9" s="219"/>
      <c r="J9" s="219"/>
      <c r="K9" s="1196"/>
    </row>
    <row r="10" spans="1:23" s="1022" customFormat="1" ht="23.25" customHeight="1">
      <c r="A10" s="2687" t="s">
        <v>295</v>
      </c>
      <c r="B10" s="2688"/>
      <c r="C10" s="2688"/>
      <c r="D10" s="2688"/>
      <c r="E10" s="2688"/>
      <c r="F10" s="2688"/>
      <c r="G10" s="2688"/>
      <c r="H10" s="2688"/>
      <c r="I10" s="2688"/>
      <c r="J10" s="2688"/>
      <c r="K10" s="2689"/>
    </row>
    <row r="11" spans="1:23" s="1022" customFormat="1" ht="64.5" customHeight="1">
      <c r="A11" s="2692" t="s">
        <v>296</v>
      </c>
      <c r="B11" s="2693"/>
      <c r="C11" s="2693"/>
      <c r="D11" s="2693"/>
      <c r="E11" s="2693"/>
      <c r="F11" s="2693"/>
      <c r="G11" s="2693"/>
      <c r="H11" s="2693"/>
      <c r="I11" s="2693"/>
      <c r="J11" s="2693"/>
      <c r="K11" s="2693"/>
    </row>
    <row r="12" spans="1:23" s="1022" customFormat="1" ht="15" customHeight="1">
      <c r="A12" s="1188"/>
      <c r="B12" s="1225"/>
      <c r="C12" s="1225"/>
      <c r="D12" s="1225"/>
      <c r="E12" s="1225"/>
      <c r="F12" s="1225"/>
      <c r="G12" s="1225"/>
      <c r="H12" s="1225"/>
      <c r="I12" s="1225"/>
      <c r="J12" s="1225"/>
      <c r="K12" s="1225"/>
    </row>
    <row r="13" spans="1:23" s="1022" customFormat="1" ht="28.5" customHeight="1">
      <c r="A13" s="1194" t="s">
        <v>292</v>
      </c>
      <c r="B13" s="1190" t="s">
        <v>254</v>
      </c>
      <c r="C13" s="1226"/>
      <c r="D13" s="1227" t="s">
        <v>293</v>
      </c>
      <c r="E13" s="1190" t="s">
        <v>610</v>
      </c>
      <c r="F13" s="1226"/>
      <c r="G13" s="1227" t="s">
        <v>294</v>
      </c>
      <c r="H13" s="1190" t="s">
        <v>254</v>
      </c>
      <c r="I13" s="1226"/>
      <c r="J13" s="1226"/>
      <c r="K13" s="1226"/>
    </row>
    <row r="14" spans="1:23" s="1022" customFormat="1" ht="18.75" customHeight="1" thickBot="1">
      <c r="A14" s="1194"/>
      <c r="B14" s="1228"/>
      <c r="C14" s="1226"/>
      <c r="D14" s="1227"/>
      <c r="E14" s="1228"/>
      <c r="F14" s="1226"/>
      <c r="G14" s="1226"/>
      <c r="H14" s="1228"/>
      <c r="I14" s="1226"/>
      <c r="J14" s="1226"/>
      <c r="K14" s="1226"/>
    </row>
    <row r="15" spans="1:23" s="1022" customFormat="1" ht="79.5" customHeight="1">
      <c r="A15" s="2648" t="s">
        <v>1141</v>
      </c>
      <c r="B15" s="2649"/>
      <c r="C15" s="2649"/>
      <c r="D15" s="2649"/>
      <c r="E15" s="2649"/>
      <c r="F15" s="2649"/>
      <c r="G15" s="2649"/>
      <c r="H15" s="2649"/>
      <c r="I15" s="2649"/>
      <c r="J15" s="2649"/>
      <c r="K15" s="2650"/>
    </row>
    <row r="16" spans="1:23" s="1022" customFormat="1" ht="42.75" customHeight="1" thickBot="1">
      <c r="A16" s="2653"/>
      <c r="B16" s="2654"/>
      <c r="C16" s="2654"/>
      <c r="D16" s="2654"/>
      <c r="E16" s="2654"/>
      <c r="F16" s="2654"/>
      <c r="G16" s="2654"/>
      <c r="H16" s="2654"/>
      <c r="I16" s="2654"/>
      <c r="J16" s="2654"/>
      <c r="K16" s="2655"/>
    </row>
    <row r="17" spans="1:16" ht="27" customHeight="1" thickBot="1">
      <c r="A17" s="647"/>
      <c r="B17" s="647"/>
      <c r="C17" s="647"/>
      <c r="D17" s="647"/>
      <c r="E17" s="647"/>
      <c r="F17" s="647"/>
      <c r="G17" s="647"/>
      <c r="H17" s="647"/>
      <c r="I17" s="647"/>
      <c r="J17" s="647"/>
      <c r="K17" s="1197"/>
    </row>
    <row r="18" spans="1:16" s="88" customFormat="1" ht="21.75" customHeight="1">
      <c r="A18" s="2684" t="s">
        <v>637</v>
      </c>
      <c r="B18" s="2685"/>
      <c r="C18" s="2685"/>
      <c r="D18" s="2685"/>
      <c r="E18" s="2685"/>
      <c r="F18" s="2685"/>
      <c r="G18" s="2685"/>
      <c r="H18" s="2685"/>
      <c r="I18" s="2685"/>
      <c r="J18" s="2685"/>
      <c r="K18" s="2686"/>
    </row>
    <row r="19" spans="1:16" s="1022" customFormat="1" ht="35.25" customHeight="1">
      <c r="A19" s="2676" t="s">
        <v>1142</v>
      </c>
      <c r="B19" s="2677"/>
      <c r="C19" s="2677"/>
      <c r="D19" s="2677"/>
      <c r="E19" s="2677"/>
      <c r="F19" s="2677"/>
      <c r="G19" s="2677"/>
      <c r="H19" s="2677"/>
      <c r="I19" s="2677"/>
      <c r="J19" s="2677"/>
      <c r="K19" s="2678"/>
    </row>
    <row r="20" spans="1:16" s="88" customFormat="1" ht="43.5" customHeight="1" thickBot="1">
      <c r="A20" s="2653"/>
      <c r="B20" s="2654"/>
      <c r="C20" s="2654"/>
      <c r="D20" s="2654"/>
      <c r="E20" s="2654"/>
      <c r="F20" s="2654"/>
      <c r="G20" s="2654"/>
      <c r="H20" s="2654"/>
      <c r="I20" s="2654"/>
      <c r="J20" s="2654"/>
      <c r="K20" s="2655"/>
    </row>
    <row r="21" spans="1:16" s="88" customFormat="1" ht="30.75" customHeight="1" thickBot="1">
      <c r="A21" s="646"/>
      <c r="B21" s="646"/>
      <c r="C21" s="646"/>
      <c r="D21" s="646"/>
      <c r="E21" s="646"/>
      <c r="F21" s="646"/>
      <c r="G21" s="646"/>
      <c r="H21" s="646"/>
      <c r="I21" s="646"/>
      <c r="J21" s="646"/>
      <c r="K21" s="1198"/>
    </row>
    <row r="22" spans="1:16" s="88" customFormat="1" ht="24.75" customHeight="1">
      <c r="A22" s="2681" t="s">
        <v>638</v>
      </c>
      <c r="B22" s="2682"/>
      <c r="C22" s="2682"/>
      <c r="D22" s="2682"/>
      <c r="E22" s="2682"/>
      <c r="F22" s="2682"/>
      <c r="G22" s="2682"/>
      <c r="H22" s="2682"/>
      <c r="I22" s="2682"/>
      <c r="J22" s="2682"/>
      <c r="K22" s="2683"/>
    </row>
    <row r="23" spans="1:16" s="1022" customFormat="1" ht="23.25" customHeight="1">
      <c r="A23" s="2676" t="s">
        <v>1143</v>
      </c>
      <c r="B23" s="2677"/>
      <c r="C23" s="2677"/>
      <c r="D23" s="2677"/>
      <c r="E23" s="2677"/>
      <c r="F23" s="2677"/>
      <c r="G23" s="2677"/>
      <c r="H23" s="2677"/>
      <c r="I23" s="2677"/>
      <c r="J23" s="2677"/>
      <c r="K23" s="2678"/>
    </row>
    <row r="24" spans="1:16" s="88" customFormat="1" ht="42.75" customHeight="1" thickBot="1">
      <c r="A24" s="2653"/>
      <c r="B24" s="2654"/>
      <c r="C24" s="2654"/>
      <c r="D24" s="2654"/>
      <c r="E24" s="2654"/>
      <c r="F24" s="2654"/>
      <c r="G24" s="2654"/>
      <c r="H24" s="2654"/>
      <c r="I24" s="2654"/>
      <c r="J24" s="2654"/>
      <c r="K24" s="2655"/>
    </row>
    <row r="25" spans="1:16" hidden="1">
      <c r="A25" s="840"/>
      <c r="B25" s="840"/>
      <c r="C25" s="840"/>
      <c r="D25" s="840"/>
      <c r="E25" s="840"/>
      <c r="F25" s="840"/>
      <c r="G25" s="840"/>
      <c r="H25" s="840"/>
      <c r="I25" s="840"/>
      <c r="J25" s="840"/>
      <c r="K25" s="805"/>
    </row>
    <row r="26" spans="1:16" s="88" customFormat="1" ht="18.75" customHeight="1">
      <c r="A26" s="2679"/>
      <c r="B26" s="2680"/>
      <c r="C26" s="2680"/>
      <c r="D26" s="2680"/>
      <c r="E26" s="2680"/>
      <c r="F26" s="2680"/>
      <c r="G26" s="2680"/>
      <c r="H26" s="2680"/>
      <c r="I26" s="2680"/>
      <c r="J26" s="2680"/>
      <c r="K26" s="2680"/>
    </row>
    <row r="27" spans="1:16" s="88" customFormat="1" ht="18.75" customHeight="1">
      <c r="A27" s="1188"/>
      <c r="B27" s="1188"/>
      <c r="C27" s="1188"/>
      <c r="E27" s="1189"/>
      <c r="F27" s="1189"/>
      <c r="G27" s="1189"/>
      <c r="H27" s="1189"/>
      <c r="I27" s="1189"/>
      <c r="J27" s="1189"/>
      <c r="K27" s="1188"/>
      <c r="L27" s="1188"/>
      <c r="M27" s="1188"/>
      <c r="N27" s="1188"/>
      <c r="O27" s="1188"/>
      <c r="P27" s="1188"/>
    </row>
    <row r="28" spans="1:16" s="88" customFormat="1" ht="25.5" customHeight="1">
      <c r="A28" s="1188"/>
      <c r="B28" s="1166"/>
      <c r="C28" s="1228"/>
      <c r="E28" s="92"/>
      <c r="F28" s="92"/>
      <c r="G28" s="92"/>
      <c r="H28" s="92"/>
      <c r="I28" s="92"/>
      <c r="J28" s="92"/>
      <c r="K28" s="92"/>
      <c r="L28" s="92"/>
      <c r="M28" s="92"/>
      <c r="N28" s="92"/>
    </row>
    <row r="29" spans="1:16" s="88" customFormat="1" ht="6" customHeight="1">
      <c r="A29" s="517"/>
      <c r="C29" s="517"/>
      <c r="D29" s="1177"/>
      <c r="E29" s="92"/>
      <c r="F29" s="92"/>
      <c r="G29" s="92"/>
      <c r="H29" s="92"/>
      <c r="I29" s="92"/>
      <c r="J29" s="92"/>
      <c r="K29" s="92"/>
      <c r="L29" s="92"/>
      <c r="M29" s="92"/>
      <c r="N29" s="92"/>
    </row>
    <row r="30" spans="1:16" s="88" customFormat="1" ht="30" customHeight="1">
      <c r="A30" s="1188"/>
      <c r="B30" s="1191"/>
      <c r="C30" s="1228"/>
      <c r="D30" s="1177"/>
      <c r="E30" s="92"/>
      <c r="F30" s="92"/>
      <c r="G30" s="92"/>
      <c r="H30" s="92"/>
      <c r="I30" s="92"/>
      <c r="J30" s="92"/>
      <c r="K30" s="92"/>
      <c r="L30" s="92"/>
      <c r="M30" s="92"/>
      <c r="N30" s="92"/>
    </row>
    <row r="31" spans="1:16" s="88" customFormat="1" ht="6" customHeight="1">
      <c r="A31" s="517"/>
      <c r="C31" s="517"/>
      <c r="D31" s="1177"/>
      <c r="E31" s="92"/>
      <c r="F31" s="92"/>
      <c r="G31" s="92"/>
      <c r="H31" s="92"/>
      <c r="I31" s="92"/>
      <c r="J31" s="92"/>
      <c r="K31" s="92"/>
      <c r="L31" s="92"/>
      <c r="M31" s="92"/>
      <c r="N31" s="92"/>
    </row>
    <row r="32" spans="1:16" s="88" customFormat="1" ht="25.5" customHeight="1">
      <c r="A32" s="1188"/>
      <c r="B32" s="1166"/>
      <c r="C32" s="1228"/>
      <c r="D32" s="1177"/>
      <c r="E32" s="92"/>
      <c r="F32" s="92"/>
      <c r="G32" s="92"/>
      <c r="H32" s="92"/>
      <c r="I32" s="92"/>
      <c r="J32" s="92"/>
      <c r="K32" s="92"/>
      <c r="L32" s="92"/>
      <c r="M32" s="92"/>
      <c r="N32" s="92"/>
    </row>
    <row r="33" spans="1:24" s="88" customFormat="1" ht="6" customHeight="1">
      <c r="A33" s="517"/>
      <c r="C33" s="517"/>
      <c r="D33" s="1177"/>
      <c r="E33" s="92"/>
      <c r="F33" s="92"/>
      <c r="G33" s="92"/>
      <c r="H33" s="92"/>
      <c r="I33" s="92"/>
      <c r="J33" s="92"/>
      <c r="K33" s="92"/>
      <c r="L33" s="92"/>
      <c r="M33" s="92"/>
      <c r="N33" s="92"/>
    </row>
    <row r="34" spans="1:24" s="88" customFormat="1" ht="15.75" customHeight="1">
      <c r="A34" s="1192"/>
      <c r="B34" s="1193"/>
      <c r="C34" s="1193"/>
      <c r="D34" s="1193"/>
      <c r="E34" s="1194"/>
      <c r="F34" s="1194"/>
      <c r="G34" s="1194"/>
      <c r="H34" s="1194"/>
      <c r="I34" s="1194"/>
      <c r="J34" s="1194"/>
      <c r="K34" s="1194"/>
      <c r="L34" s="1194"/>
      <c r="M34" s="1194"/>
      <c r="N34" s="1194"/>
    </row>
    <row r="35" spans="1:24" ht="15.75" customHeight="1">
      <c r="A35" s="66"/>
      <c r="B35" s="78"/>
      <c r="C35" s="78"/>
      <c r="D35" s="78"/>
      <c r="E35" s="70"/>
      <c r="F35" s="70"/>
      <c r="G35" s="70"/>
      <c r="H35" s="70"/>
      <c r="I35" s="70"/>
      <c r="K35" s="648"/>
      <c r="L35" s="648"/>
      <c r="M35" s="648"/>
      <c r="R35" s="1022"/>
      <c r="S35" s="1022"/>
      <c r="T35" s="1022"/>
      <c r="U35" s="1022"/>
      <c r="V35" s="1022"/>
      <c r="W35" s="1022"/>
      <c r="X35" s="1022"/>
    </row>
    <row r="41" spans="1:24" ht="12" customHeight="1"/>
  </sheetData>
  <sheetProtection password="92D1" sheet="1" formatRows="0"/>
  <customSheetViews>
    <customSheetView guid="{E26F941C-F347-432D-B4B3-73B25F002075}" scale="75" fitToPage="1" topLeftCell="A4">
      <selection activeCell="C10" sqref="C10"/>
      <pageMargins left="0.48" right="0.51" top="0.71" bottom="0.78" header="0.51181102362204722" footer="0.51181102362204722"/>
      <printOptions horizontalCentered="1"/>
      <pageSetup paperSize="9" scale="64" orientation="landscape" cellComments="asDisplayed" r:id="rId1"/>
      <headerFooter alignWithMargins="0">
        <oddFooter>&amp;L&amp;9SD 3.1A - Form, Ongoing DR/PU and LFA Review and Recommendation_v2.1 February 2006&amp;R&amp;9Page &amp;P of &amp;N</oddFooter>
      </headerFooter>
    </customSheetView>
  </customSheetViews>
  <mergeCells count="13">
    <mergeCell ref="A19:K20"/>
    <mergeCell ref="A23:K24"/>
    <mergeCell ref="A26:K26"/>
    <mergeCell ref="A22:K22"/>
    <mergeCell ref="A1:J1"/>
    <mergeCell ref="A3:B3"/>
    <mergeCell ref="C3:F3"/>
    <mergeCell ref="C6:F6"/>
    <mergeCell ref="A18:K18"/>
    <mergeCell ref="A10:K10"/>
    <mergeCell ref="A8:F8"/>
    <mergeCell ref="A11:K11"/>
    <mergeCell ref="A15:K16"/>
  </mergeCells>
  <phoneticPr fontId="29" type="noConversion"/>
  <conditionalFormatting sqref="D29">
    <cfRule type="cellIs" dxfId="8" priority="3" stopIfTrue="1" operator="notEqual">
      <formula>#REF!</formula>
    </cfRule>
  </conditionalFormatting>
  <conditionalFormatting sqref="D31">
    <cfRule type="cellIs" dxfId="7" priority="2" stopIfTrue="1" operator="notEqual">
      <formula>#REF!</formula>
    </cfRule>
  </conditionalFormatting>
  <conditionalFormatting sqref="D33">
    <cfRule type="cellIs" dxfId="6" priority="1" stopIfTrue="1" operator="notEqual">
      <formula>#REF!</formula>
    </cfRule>
  </conditionalFormatting>
  <dataValidations count="2">
    <dataValidation type="list" allowBlank="1" showInputMessage="1" showErrorMessage="1" sqref="C28 C32 B13:B14 H13:H14">
      <formula1>"Select, A1, A2, B1, B2, C"</formula1>
    </dataValidation>
    <dataValidation type="list" allowBlank="1" showInputMessage="1" showErrorMessage="1" sqref="C30 E13:E14">
      <formula1>"Select, Yes, No"</formula1>
    </dataValidation>
  </dataValidations>
  <printOptions horizontalCentered="1"/>
  <pageMargins left="0.74803149606299213" right="0.74803149606299213" top="0.59055118110236227" bottom="0.59055118110236227" header="0.51181102362204722" footer="0.51181102362204722"/>
  <pageSetup paperSize="9" scale="66" fitToHeight="0" orientation="landscape" cellComments="asDisplayed" r:id="rId2"/>
  <headerFooter alignWithMargins="0">
    <oddFooter>&amp;L&amp;9&amp;F&amp;C&amp;A&amp;R&amp;9Page &amp;P of &amp;N</oddFooter>
  </headerFooter>
</worksheet>
</file>

<file path=xl/worksheets/sheet28.xml><?xml version="1.0" encoding="utf-8"?>
<worksheet xmlns="http://schemas.openxmlformats.org/spreadsheetml/2006/main" xmlns:r="http://schemas.openxmlformats.org/officeDocument/2006/relationships">
  <sheetPr enableFormatConditionsCalculation="0">
    <tabColor indexed="40"/>
    <pageSetUpPr fitToPage="1"/>
  </sheetPr>
  <dimension ref="A1:X69"/>
  <sheetViews>
    <sheetView view="pageBreakPreview" zoomScale="70" zoomScaleNormal="70" zoomScaleSheetLayoutView="70" workbookViewId="0">
      <selection activeCell="D3" sqref="D3:G3"/>
    </sheetView>
  </sheetViews>
  <sheetFormatPr defaultColWidth="0" defaultRowHeight="12.75"/>
  <cols>
    <col min="1" max="1" width="3.85546875" style="69" customWidth="1"/>
    <col min="2" max="2" width="23" style="69" customWidth="1"/>
    <col min="3" max="3" width="26" style="69" customWidth="1"/>
    <col min="4" max="4" width="22.7109375" style="69" customWidth="1"/>
    <col min="5" max="5" width="18.7109375" style="69" customWidth="1"/>
    <col min="6" max="6" width="25.7109375" style="69" customWidth="1"/>
    <col min="7" max="7" width="18.5703125" style="69" customWidth="1"/>
    <col min="8" max="8" width="18.140625" style="69" customWidth="1"/>
    <col min="9" max="9" width="13.42578125" style="69" customWidth="1"/>
    <col min="10" max="10" width="34.42578125" style="69" customWidth="1"/>
    <col min="11" max="11" width="3" style="69" customWidth="1"/>
    <col min="12" max="12" width="21.5703125" style="69" bestFit="1" customWidth="1"/>
    <col min="13" max="13" width="18.5703125" style="69" customWidth="1"/>
    <col min="14" max="14" width="13.7109375" style="69" bestFit="1" customWidth="1"/>
    <col min="15" max="15" width="18.5703125" style="69" customWidth="1"/>
    <col min="16" max="16" width="2.7109375" style="69" customWidth="1"/>
    <col min="17" max="23" width="9.140625" style="69" customWidth="1"/>
    <col min="24" max="24" width="8.7109375" style="69" customWidth="1"/>
    <col min="25" max="16384" width="0" style="69" hidden="1"/>
  </cols>
  <sheetData>
    <row r="1" spans="1:24" s="72" customFormat="1" ht="25.5" customHeight="1">
      <c r="A1" s="2166" t="s">
        <v>632</v>
      </c>
      <c r="B1" s="2166"/>
      <c r="C1" s="2166"/>
      <c r="D1" s="2166"/>
      <c r="E1" s="2166"/>
      <c r="F1" s="2166"/>
      <c r="G1" s="2166"/>
      <c r="H1" s="2166"/>
      <c r="I1" s="2166"/>
      <c r="J1" s="2166"/>
      <c r="K1" s="69"/>
      <c r="L1" s="69"/>
      <c r="M1" s="69"/>
      <c r="R1" s="74"/>
      <c r="S1" s="1022"/>
      <c r="T1" s="1022"/>
      <c r="U1" s="1022"/>
      <c r="V1" s="1022"/>
      <c r="W1" s="1022"/>
      <c r="X1" s="1022"/>
    </row>
    <row r="2" spans="1:24" s="72" customFormat="1" ht="14.25" customHeight="1" thickBot="1">
      <c r="A2" s="69"/>
      <c r="B2" s="69"/>
      <c r="C2" s="69"/>
      <c r="D2" s="69"/>
      <c r="E2" s="69"/>
      <c r="F2" s="69"/>
      <c r="G2" s="69"/>
      <c r="H2" s="78"/>
      <c r="I2" s="83"/>
      <c r="J2" s="69"/>
      <c r="K2" s="69"/>
      <c r="L2" s="69"/>
      <c r="M2" s="69"/>
      <c r="R2" s="74"/>
      <c r="S2" s="1022"/>
      <c r="T2" s="1022"/>
      <c r="U2" s="1022"/>
      <c r="V2" s="1022"/>
      <c r="W2" s="1022"/>
      <c r="X2" s="1022"/>
    </row>
    <row r="3" spans="1:24" s="13" customFormat="1" ht="15" customHeight="1" thickBot="1">
      <c r="A3" s="2205" t="s">
        <v>491</v>
      </c>
      <c r="B3" s="2479"/>
      <c r="C3" s="2206"/>
      <c r="D3" s="2715" t="str">
        <f>IF('LFA_Programmatic Progress_1A'!C3="","",'LFA_Programmatic Progress_1A'!C3)</f>
        <v>UNOPS/LFA-BHUTAN</v>
      </c>
      <c r="E3" s="2716"/>
      <c r="F3" s="2716"/>
      <c r="G3" s="2717"/>
      <c r="H3" s="82"/>
      <c r="I3" s="63"/>
      <c r="J3" s="63"/>
      <c r="K3" s="84"/>
      <c r="L3" s="63"/>
      <c r="M3" s="63"/>
      <c r="N3" s="63"/>
      <c r="O3" s="63"/>
      <c r="P3" s="63"/>
      <c r="Q3" s="63"/>
      <c r="R3" s="74"/>
      <c r="S3" s="1022"/>
      <c r="T3" s="1022"/>
      <c r="U3" s="1022"/>
      <c r="V3" s="1022"/>
      <c r="W3" s="1022"/>
      <c r="X3" s="1022"/>
    </row>
    <row r="4" spans="1:24" s="13" customFormat="1" ht="27.75" customHeight="1" thickBot="1">
      <c r="A4" s="99" t="s">
        <v>506</v>
      </c>
      <c r="B4" s="72"/>
      <c r="C4" s="72"/>
      <c r="D4" s="72"/>
      <c r="E4" s="72"/>
      <c r="F4" s="72"/>
      <c r="G4" s="72"/>
      <c r="H4" s="72"/>
      <c r="I4" s="72"/>
      <c r="J4" s="72"/>
      <c r="K4" s="72"/>
      <c r="L4" s="72"/>
      <c r="M4" s="72"/>
      <c r="N4" s="72"/>
      <c r="O4" s="72"/>
      <c r="P4" s="72"/>
      <c r="Q4" s="72"/>
      <c r="R4" s="72"/>
      <c r="S4" s="69"/>
      <c r="T4" s="69"/>
      <c r="U4" s="69"/>
      <c r="V4" s="69"/>
      <c r="W4" s="69"/>
      <c r="X4" s="69"/>
    </row>
    <row r="5" spans="1:24" s="13" customFormat="1" ht="15" customHeight="1">
      <c r="A5" s="1787" t="s">
        <v>420</v>
      </c>
      <c r="B5" s="1815"/>
      <c r="C5" s="1788"/>
      <c r="D5" s="2210" t="str">
        <f>IF('LFA_Programmatic Progress_1A'!C5="","",'LFA_Programmatic Progress_1A'!C5)</f>
        <v>Bhutan</v>
      </c>
      <c r="E5" s="2211"/>
      <c r="F5" s="2211"/>
      <c r="G5" s="2212"/>
      <c r="H5" s="82"/>
      <c r="I5" s="63"/>
      <c r="J5" s="63"/>
      <c r="K5" s="84"/>
      <c r="L5" s="63"/>
      <c r="M5" s="63"/>
      <c r="N5" s="63"/>
      <c r="O5" s="63"/>
      <c r="P5" s="63"/>
      <c r="Q5" s="63"/>
      <c r="R5" s="74"/>
      <c r="S5" s="1022"/>
      <c r="T5" s="1022"/>
      <c r="U5" s="1022"/>
      <c r="V5" s="1022"/>
      <c r="W5" s="1022"/>
      <c r="X5" s="1022"/>
    </row>
    <row r="6" spans="1:24" s="13" customFormat="1" ht="15" customHeight="1">
      <c r="A6" s="1795" t="s">
        <v>421</v>
      </c>
      <c r="B6" s="2253"/>
      <c r="C6" s="1796"/>
      <c r="D6" s="2145" t="str">
        <f>IF('LFA_Programmatic Progress_1A'!C6="","",'LFA_Programmatic Progress_1A'!C6)</f>
        <v>HIV/AIDS</v>
      </c>
      <c r="E6" s="2146"/>
      <c r="F6" s="2146"/>
      <c r="G6" s="2147"/>
      <c r="H6" s="82"/>
      <c r="I6" s="2714"/>
      <c r="J6" s="2714"/>
      <c r="K6" s="2714"/>
      <c r="L6" s="2714"/>
      <c r="M6" s="2714"/>
      <c r="N6" s="63"/>
      <c r="O6" s="63"/>
      <c r="P6" s="63"/>
      <c r="Q6" s="63"/>
      <c r="R6" s="74"/>
      <c r="S6" s="1022"/>
      <c r="T6" s="1022"/>
      <c r="U6" s="1022"/>
      <c r="V6" s="1022"/>
      <c r="W6" s="1022"/>
      <c r="X6" s="1022"/>
    </row>
    <row r="7" spans="1:24" s="13" customFormat="1" ht="27.75" customHeight="1">
      <c r="A7" s="1795" t="s">
        <v>618</v>
      </c>
      <c r="B7" s="2253"/>
      <c r="C7" s="1796"/>
      <c r="D7" s="2219" t="str">
        <f>IF('LFA_Programmatic Progress_1A'!C7="","",'LFA_Programmatic Progress_1A'!C7)</f>
        <v>BTN-607-G03-H</v>
      </c>
      <c r="E7" s="2220"/>
      <c r="F7" s="2220"/>
      <c r="G7" s="2221"/>
      <c r="H7" s="85"/>
      <c r="I7" s="2714"/>
      <c r="J7" s="2714"/>
      <c r="K7" s="2714"/>
      <c r="L7" s="2714"/>
      <c r="M7" s="2714"/>
      <c r="N7" s="63"/>
      <c r="O7" s="63"/>
      <c r="P7" s="63"/>
      <c r="Q7" s="63"/>
      <c r="R7" s="74"/>
      <c r="S7" s="1022"/>
      <c r="T7" s="1022"/>
      <c r="U7" s="1022"/>
      <c r="V7" s="1022"/>
      <c r="W7" s="1022"/>
      <c r="X7" s="1022"/>
    </row>
    <row r="8" spans="1:24" s="13" customFormat="1" ht="15" customHeight="1">
      <c r="A8" s="1795" t="s">
        <v>591</v>
      </c>
      <c r="B8" s="2253"/>
      <c r="C8" s="1796"/>
      <c r="D8" s="2145" t="str">
        <f>IF('LFA_Programmatic Progress_1A'!C8="","",'LFA_Programmatic Progress_1A'!C8)</f>
        <v xml:space="preserve">Ministry of Health </v>
      </c>
      <c r="E8" s="2146"/>
      <c r="F8" s="2146"/>
      <c r="G8" s="2147"/>
      <c r="H8" s="82"/>
      <c r="I8" s="2714"/>
      <c r="J8" s="2714"/>
      <c r="K8" s="2714"/>
      <c r="L8" s="2714"/>
      <c r="M8" s="2714"/>
      <c r="N8" s="63"/>
      <c r="O8" s="63"/>
      <c r="P8" s="63"/>
      <c r="Q8" s="63"/>
      <c r="R8" s="74"/>
      <c r="S8" s="1022"/>
      <c r="T8" s="1022"/>
      <c r="U8" s="1022"/>
      <c r="V8" s="1022"/>
      <c r="W8" s="1022"/>
      <c r="X8" s="1022"/>
    </row>
    <row r="9" spans="1:24" s="13" customFormat="1" ht="15" customHeight="1">
      <c r="A9" s="1795" t="s">
        <v>616</v>
      </c>
      <c r="B9" s="2253"/>
      <c r="C9" s="1796"/>
      <c r="D9" s="2225">
        <f>IF('LFA_Programmatic Progress_1A'!C9="","",'LFA_Programmatic Progress_1A'!C9)</f>
        <v>39479</v>
      </c>
      <c r="E9" s="2226"/>
      <c r="F9" s="2226"/>
      <c r="G9" s="2227"/>
      <c r="H9" s="62"/>
      <c r="I9" s="63"/>
      <c r="J9" s="63"/>
      <c r="K9" s="63"/>
      <c r="L9" s="63"/>
      <c r="M9" s="63"/>
      <c r="N9" s="63"/>
      <c r="O9" s="63"/>
      <c r="P9" s="63"/>
      <c r="Q9" s="63"/>
      <c r="R9" s="74"/>
      <c r="S9" s="1022"/>
      <c r="T9" s="1022"/>
      <c r="U9" s="1022"/>
      <c r="V9" s="1022"/>
      <c r="W9" s="1022"/>
      <c r="X9" s="1022"/>
    </row>
    <row r="10" spans="1:24" s="13" customFormat="1" ht="15" customHeight="1" thickBot="1">
      <c r="A10" s="1751" t="s">
        <v>592</v>
      </c>
      <c r="B10" s="2492"/>
      <c r="C10" s="1752"/>
      <c r="D10" s="1830" t="str">
        <f>IF('LFA_Programmatic Progress_1A'!C10="","",'LFA_Programmatic Progress_1A'!C10)</f>
        <v>USD</v>
      </c>
      <c r="E10" s="1831"/>
      <c r="F10" s="1831"/>
      <c r="G10" s="1832"/>
      <c r="H10" s="82"/>
      <c r="I10" s="63"/>
      <c r="J10" s="63"/>
      <c r="K10" s="63"/>
      <c r="L10" s="63"/>
      <c r="M10" s="63"/>
      <c r="N10" s="63"/>
      <c r="O10" s="63"/>
      <c r="P10" s="63"/>
      <c r="Q10" s="63"/>
      <c r="R10" s="74"/>
      <c r="S10" s="1022"/>
      <c r="T10" s="1022"/>
      <c r="U10" s="1022"/>
      <c r="V10" s="1022"/>
      <c r="W10" s="1022"/>
      <c r="X10" s="1022"/>
    </row>
    <row r="11" spans="1:24" s="13" customFormat="1" ht="27" customHeight="1" thickBot="1">
      <c r="A11" s="98" t="s">
        <v>507</v>
      </c>
      <c r="B11" s="72"/>
      <c r="C11" s="72"/>
      <c r="D11" s="72"/>
      <c r="E11" s="72"/>
      <c r="F11" s="72"/>
      <c r="G11" s="72"/>
      <c r="H11" s="72"/>
      <c r="I11" s="98" t="s">
        <v>508</v>
      </c>
      <c r="J11" s="72"/>
      <c r="K11" s="72"/>
      <c r="L11" s="72"/>
      <c r="M11" s="72"/>
      <c r="N11" s="72"/>
      <c r="O11" s="72"/>
      <c r="P11" s="72"/>
      <c r="Q11" s="72"/>
      <c r="R11" s="72"/>
      <c r="S11" s="69"/>
      <c r="T11" s="69"/>
      <c r="U11" s="69"/>
      <c r="V11" s="69"/>
      <c r="W11" s="69"/>
      <c r="X11" s="69"/>
    </row>
    <row r="12" spans="1:24" s="13" customFormat="1" ht="15" customHeight="1">
      <c r="A12" s="2710" t="s">
        <v>624</v>
      </c>
      <c r="B12" s="2711"/>
      <c r="C12" s="2712"/>
      <c r="D12" s="53" t="s">
        <v>630</v>
      </c>
      <c r="E12" s="94" t="str">
        <f>IF('LFA_Programmatic Progress_1A'!D12="Select","",'LFA_Programmatic Progress_1A'!D12)</f>
        <v>Quarter</v>
      </c>
      <c r="F12" s="43" t="s">
        <v>631</v>
      </c>
      <c r="G12" s="96">
        <f>IF('LFA_Programmatic Progress_1A'!F12="Select","",'LFA_Programmatic Progress_1A'!F12)</f>
        <v>16</v>
      </c>
      <c r="H12" s="82"/>
      <c r="I12" s="2710" t="s">
        <v>629</v>
      </c>
      <c r="J12" s="2711"/>
      <c r="K12" s="2712"/>
      <c r="L12" s="53" t="s">
        <v>630</v>
      </c>
      <c r="M12" s="94" t="str">
        <f>IF('LFA_Programmatic Progress_1A'!D16="Select","",'LFA_Programmatic Progress_1A'!D16)</f>
        <v/>
      </c>
      <c r="N12" s="43" t="s">
        <v>631</v>
      </c>
      <c r="O12" s="96">
        <f>IF('LFA_Programmatic Progress_1A'!F16="Select","",'LFA_Programmatic Progress_1A'!F16)</f>
        <v>0</v>
      </c>
      <c r="P12" s="63"/>
      <c r="Q12" s="63"/>
      <c r="R12" s="74"/>
      <c r="S12" s="1022"/>
      <c r="T12" s="1022"/>
      <c r="U12" s="1022"/>
      <c r="V12" s="1022"/>
      <c r="W12" s="1022"/>
      <c r="X12" s="1022"/>
    </row>
    <row r="13" spans="1:24" s="13" customFormat="1" ht="15" customHeight="1">
      <c r="A13" s="2468" t="s">
        <v>625</v>
      </c>
      <c r="B13" s="2173"/>
      <c r="C13" s="2172"/>
      <c r="D13" s="54" t="s">
        <v>593</v>
      </c>
      <c r="E13" s="95">
        <f>IF('LFA_Programmatic Progress_1A'!D13="Select","",'LFA_Programmatic Progress_1A'!D13)</f>
        <v>40848</v>
      </c>
      <c r="F13" s="5" t="s">
        <v>611</v>
      </c>
      <c r="G13" s="97">
        <f>IF('LFA_Programmatic Progress_1A'!F13="Select","",'LFA_Programmatic Progress_1A'!F13)</f>
        <v>40939</v>
      </c>
      <c r="H13" s="62"/>
      <c r="I13" s="2468" t="s">
        <v>627</v>
      </c>
      <c r="J13" s="2173"/>
      <c r="K13" s="2172"/>
      <c r="L13" s="54" t="s">
        <v>593</v>
      </c>
      <c r="M13" s="95" t="str">
        <f>IF('LFA_Programmatic Progress_1A'!D17="Select","",'LFA_Programmatic Progress_1A'!D17)</f>
        <v/>
      </c>
      <c r="N13" s="5" t="s">
        <v>611</v>
      </c>
      <c r="O13" s="97" t="str">
        <f>IF('LFA_Programmatic Progress_1A'!F17="Select","",'LFA_Programmatic Progress_1A'!F17)</f>
        <v/>
      </c>
      <c r="P13" s="63"/>
      <c r="Q13" s="63"/>
      <c r="R13" s="74"/>
      <c r="S13" s="1022"/>
      <c r="T13" s="1022"/>
      <c r="U13" s="1022"/>
      <c r="V13" s="1022"/>
      <c r="W13" s="1022"/>
      <c r="X13" s="1022"/>
    </row>
    <row r="14" spans="1:24" s="13" customFormat="1" ht="15" customHeight="1" thickBot="1">
      <c r="A14" s="2469" t="s">
        <v>626</v>
      </c>
      <c r="B14" s="2470"/>
      <c r="C14" s="2471"/>
      <c r="D14" s="1831">
        <f>IF('LFA_Programmatic Progress_1A'!C14="Select","",'LFA_Programmatic Progress_1A'!C14)</f>
        <v>16</v>
      </c>
      <c r="E14" s="1831"/>
      <c r="F14" s="1831"/>
      <c r="G14" s="1832"/>
      <c r="H14" s="82"/>
      <c r="I14" s="2469" t="s">
        <v>628</v>
      </c>
      <c r="J14" s="2470"/>
      <c r="K14" s="2471"/>
      <c r="L14" s="1830">
        <f>IF('LFA_Programmatic Progress_1A'!C18="Select","",'LFA_Programmatic Progress_1A'!C18)</f>
        <v>0</v>
      </c>
      <c r="M14" s="1831"/>
      <c r="N14" s="1831"/>
      <c r="O14" s="1832"/>
      <c r="P14" s="63"/>
      <c r="Q14" s="63"/>
      <c r="R14" s="74"/>
      <c r="S14" s="1022"/>
      <c r="T14" s="1022"/>
      <c r="U14" s="1022"/>
      <c r="V14" s="1022"/>
      <c r="W14" s="1022"/>
      <c r="X14" s="1022"/>
    </row>
    <row r="15" spans="1:24" s="72" customFormat="1" ht="21" customHeight="1">
      <c r="A15" s="70"/>
      <c r="B15" s="70"/>
      <c r="C15" s="70"/>
      <c r="D15" s="70"/>
      <c r="E15" s="70"/>
      <c r="F15" s="70"/>
      <c r="G15" s="70"/>
      <c r="H15" s="70"/>
      <c r="I15" s="70"/>
      <c r="J15" s="69"/>
      <c r="K15" s="69"/>
      <c r="L15" s="69"/>
      <c r="R15" s="74"/>
      <c r="S15" s="1022"/>
      <c r="T15" s="1022"/>
      <c r="U15" s="1022"/>
      <c r="V15" s="1022"/>
      <c r="W15" s="1022"/>
      <c r="X15" s="1022"/>
    </row>
    <row r="16" spans="1:24" s="72" customFormat="1" ht="28.5" customHeight="1">
      <c r="A16" s="66" t="s">
        <v>152</v>
      </c>
      <c r="B16" s="78"/>
      <c r="C16" s="78"/>
      <c r="D16" s="78"/>
      <c r="E16" s="70"/>
      <c r="F16" s="70"/>
      <c r="G16" s="70"/>
      <c r="H16" s="70"/>
      <c r="I16" s="70"/>
      <c r="J16" s="69"/>
      <c r="R16" s="74"/>
      <c r="S16" s="1022"/>
      <c r="T16" s="1022"/>
      <c r="U16" s="1022"/>
      <c r="V16" s="1022"/>
      <c r="W16" s="1022"/>
      <c r="X16" s="1022"/>
    </row>
    <row r="17" spans="1:24" s="72" customFormat="1" ht="27.75" customHeight="1">
      <c r="A17" s="2141" t="s">
        <v>277</v>
      </c>
      <c r="B17" s="2142"/>
      <c r="C17" s="2142"/>
      <c r="D17" s="2142"/>
      <c r="E17" s="2142"/>
      <c r="F17" s="2142"/>
      <c r="G17" s="2142"/>
      <c r="H17" s="2142"/>
      <c r="I17" s="2142"/>
      <c r="J17" s="2142"/>
      <c r="K17" s="2142"/>
      <c r="L17" s="2142"/>
      <c r="M17" s="2142"/>
      <c r="N17" s="2142"/>
      <c r="O17" s="2142"/>
      <c r="P17" s="2142"/>
      <c r="R17" s="74"/>
      <c r="S17" s="1022"/>
      <c r="T17" s="1022"/>
      <c r="U17" s="1022"/>
      <c r="V17" s="1022"/>
      <c r="W17" s="1022"/>
      <c r="X17" s="1022"/>
    </row>
    <row r="18" spans="1:24" s="72" customFormat="1" ht="12.75" customHeight="1">
      <c r="A18" s="77"/>
      <c r="B18" s="77"/>
      <c r="C18" s="77"/>
      <c r="D18" s="77"/>
      <c r="E18" s="77"/>
      <c r="F18" s="77"/>
      <c r="G18" s="77"/>
      <c r="H18" s="77"/>
      <c r="I18" s="77"/>
      <c r="J18" s="77"/>
      <c r="K18" s="77"/>
      <c r="L18" s="77"/>
      <c r="M18" s="77"/>
      <c r="N18" s="77"/>
      <c r="O18" s="77"/>
      <c r="P18" s="77"/>
      <c r="R18" s="74"/>
      <c r="S18" s="1022"/>
      <c r="T18" s="1022"/>
      <c r="U18" s="1022"/>
      <c r="V18" s="1022"/>
      <c r="W18" s="1022"/>
      <c r="X18" s="1022"/>
    </row>
    <row r="19" spans="1:24" s="72" customFormat="1" ht="27.75" customHeight="1">
      <c r="A19" s="77"/>
      <c r="B19" s="1200" t="s">
        <v>297</v>
      </c>
      <c r="C19" s="1224" t="str">
        <f>'LFA_Overall Performance_6'!H13</f>
        <v>B1</v>
      </c>
      <c r="D19" s="1199"/>
      <c r="E19" s="77"/>
      <c r="F19" s="77"/>
      <c r="G19" s="77"/>
      <c r="H19" s="77"/>
      <c r="I19" s="77"/>
      <c r="J19" s="77"/>
      <c r="K19" s="77"/>
      <c r="L19" s="77"/>
      <c r="M19" s="77"/>
      <c r="N19" s="77"/>
      <c r="O19" s="77"/>
      <c r="P19" s="77"/>
      <c r="R19" s="74"/>
      <c r="S19" s="1022"/>
      <c r="T19" s="1022"/>
      <c r="U19" s="1022"/>
      <c r="V19" s="1022"/>
      <c r="W19" s="1022"/>
      <c r="X19" s="1022"/>
    </row>
    <row r="20" spans="1:24" s="72" customFormat="1" ht="27.75" customHeight="1">
      <c r="A20" s="77"/>
      <c r="B20" s="77"/>
      <c r="C20" s="77"/>
      <c r="D20" s="77"/>
      <c r="E20" s="77"/>
      <c r="F20" s="77"/>
      <c r="G20" s="77"/>
      <c r="H20" s="77"/>
      <c r="I20" s="77"/>
      <c r="J20" s="77"/>
      <c r="K20" s="77"/>
      <c r="L20" s="77"/>
      <c r="M20" s="77"/>
      <c r="N20" s="77"/>
      <c r="O20" s="77"/>
      <c r="P20" s="77"/>
      <c r="R20" s="74"/>
      <c r="S20" s="1022"/>
      <c r="T20" s="1022"/>
      <c r="U20" s="1022"/>
      <c r="V20" s="1022"/>
      <c r="W20" s="1022"/>
      <c r="X20" s="1022"/>
    </row>
    <row r="21" spans="1:24" s="72" customFormat="1" ht="24" customHeight="1">
      <c r="A21" s="1146" t="s">
        <v>283</v>
      </c>
      <c r="B21" s="77"/>
      <c r="C21" s="77"/>
      <c r="D21" s="77"/>
      <c r="E21" s="77"/>
      <c r="F21" s="77"/>
      <c r="G21" s="77"/>
      <c r="H21" s="77"/>
      <c r="I21" s="77"/>
      <c r="J21" s="77"/>
      <c r="R21" s="74"/>
      <c r="S21" s="1022"/>
      <c r="T21" s="1022"/>
      <c r="U21" s="1022"/>
      <c r="V21" s="1022"/>
      <c r="W21" s="1022"/>
      <c r="X21" s="1022"/>
    </row>
    <row r="22" spans="1:24" s="72" customFormat="1" ht="18">
      <c r="A22" s="2713" t="s">
        <v>259</v>
      </c>
      <c r="B22" s="2713"/>
      <c r="C22" s="2713"/>
      <c r="D22" s="2713" t="s">
        <v>260</v>
      </c>
      <c r="E22" s="2713"/>
      <c r="F22" s="2713"/>
      <c r="G22" s="2713"/>
      <c r="H22" s="2713"/>
      <c r="I22" s="2713"/>
      <c r="J22" s="77"/>
      <c r="R22" s="74"/>
      <c r="S22" s="1022"/>
      <c r="T22" s="1022"/>
      <c r="U22" s="1022"/>
      <c r="V22" s="1022"/>
      <c r="W22" s="1022"/>
      <c r="X22" s="1022"/>
    </row>
    <row r="23" spans="1:24" s="72" customFormat="1" ht="18">
      <c r="A23" s="1149" t="s">
        <v>252</v>
      </c>
      <c r="B23" s="1156" t="s">
        <v>257</v>
      </c>
      <c r="C23" s="1157"/>
      <c r="D23" s="2705" t="s">
        <v>261</v>
      </c>
      <c r="E23" s="2706"/>
      <c r="F23" s="2706"/>
      <c r="G23" s="2706"/>
      <c r="H23" s="2706"/>
      <c r="I23" s="2707"/>
      <c r="J23" s="77"/>
      <c r="R23" s="74"/>
      <c r="S23" s="1022"/>
      <c r="T23" s="1022"/>
      <c r="U23" s="1022"/>
      <c r="V23" s="1022"/>
      <c r="W23" s="1022"/>
      <c r="X23" s="1022"/>
    </row>
    <row r="24" spans="1:24" s="72" customFormat="1" ht="18">
      <c r="A24" s="1150" t="s">
        <v>253</v>
      </c>
      <c r="B24" s="1156" t="s">
        <v>258</v>
      </c>
      <c r="C24" s="1157"/>
      <c r="D24" s="2705" t="s">
        <v>262</v>
      </c>
      <c r="E24" s="2706"/>
      <c r="F24" s="2706"/>
      <c r="G24" s="2706"/>
      <c r="H24" s="2706"/>
      <c r="I24" s="2707"/>
      <c r="J24" s="77"/>
      <c r="R24" s="74"/>
      <c r="S24" s="1022"/>
      <c r="T24" s="1022"/>
      <c r="U24" s="1022"/>
      <c r="V24" s="1022"/>
      <c r="W24" s="1022"/>
      <c r="X24" s="1022"/>
    </row>
    <row r="25" spans="1:24" s="72" customFormat="1" ht="18">
      <c r="A25" s="1151" t="s">
        <v>254</v>
      </c>
      <c r="B25" s="1156" t="s">
        <v>268</v>
      </c>
      <c r="C25" s="1157"/>
      <c r="D25" s="2705" t="s">
        <v>263</v>
      </c>
      <c r="E25" s="2706"/>
      <c r="F25" s="2706"/>
      <c r="G25" s="2706"/>
      <c r="H25" s="2706"/>
      <c r="I25" s="2707"/>
      <c r="J25" s="77"/>
      <c r="R25" s="74"/>
      <c r="S25" s="1022"/>
      <c r="T25" s="1022"/>
      <c r="U25" s="1022"/>
      <c r="V25" s="1022"/>
      <c r="W25" s="1022"/>
      <c r="X25" s="1022"/>
    </row>
    <row r="26" spans="1:24" s="72" customFormat="1" ht="18">
      <c r="A26" s="1152" t="s">
        <v>255</v>
      </c>
      <c r="B26" s="1156" t="s">
        <v>267</v>
      </c>
      <c r="C26" s="1157"/>
      <c r="D26" s="2705" t="s">
        <v>264</v>
      </c>
      <c r="E26" s="2706"/>
      <c r="F26" s="2706"/>
      <c r="G26" s="2706"/>
      <c r="H26" s="2706"/>
      <c r="I26" s="2707"/>
      <c r="J26" s="77"/>
      <c r="R26" s="74"/>
      <c r="S26" s="1022"/>
      <c r="T26" s="1022"/>
      <c r="U26" s="1022"/>
      <c r="V26" s="1022"/>
      <c r="W26" s="1022"/>
      <c r="X26" s="1022"/>
    </row>
    <row r="27" spans="1:24" s="72" customFormat="1" ht="18">
      <c r="A27" s="1153" t="s">
        <v>256</v>
      </c>
      <c r="B27" s="1156" t="s">
        <v>269</v>
      </c>
      <c r="C27" s="1157"/>
      <c r="D27" s="2705" t="s">
        <v>265</v>
      </c>
      <c r="E27" s="2706"/>
      <c r="F27" s="2706"/>
      <c r="G27" s="2706"/>
      <c r="H27" s="2706"/>
      <c r="I27" s="2707"/>
      <c r="J27" s="77"/>
      <c r="R27" s="74"/>
      <c r="S27" s="1022"/>
      <c r="T27" s="1022"/>
      <c r="U27" s="1022"/>
      <c r="V27" s="1022"/>
      <c r="W27" s="1022"/>
      <c r="X27" s="1022"/>
    </row>
    <row r="28" spans="1:24" s="72" customFormat="1" ht="18">
      <c r="A28" s="1145"/>
      <c r="B28" s="1147"/>
      <c r="C28" s="1148"/>
      <c r="D28" s="1144"/>
      <c r="E28" s="1144"/>
      <c r="F28" s="1144"/>
      <c r="G28" s="1144"/>
      <c r="H28" s="1154"/>
      <c r="I28" s="1144"/>
      <c r="J28" s="77"/>
      <c r="R28" s="74"/>
      <c r="S28" s="1022"/>
      <c r="T28" s="1022"/>
      <c r="U28" s="1022"/>
      <c r="V28" s="1022"/>
      <c r="W28" s="1022"/>
      <c r="X28" s="1022"/>
    </row>
    <row r="29" spans="1:24" s="72" customFormat="1" ht="31.5" customHeight="1">
      <c r="A29" s="2695"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USD):</v>
      </c>
      <c r="B29" s="2695"/>
      <c r="C29" s="2695"/>
      <c r="D29" s="2695"/>
      <c r="E29" s="2695"/>
      <c r="F29" s="2695"/>
      <c r="G29" s="2695"/>
      <c r="H29" s="817">
        <f>+'PR_Cash Request_7A&amp;B'!D23</f>
        <v>0</v>
      </c>
      <c r="J29" s="379">
        <f>+IF('PR_Cash Request_7A&amp;B'!D25="","",'PR_Cash Request_7A&amp;B'!D25)</f>
        <v>0</v>
      </c>
      <c r="R29" s="74"/>
      <c r="S29" s="1022"/>
      <c r="T29" s="1022"/>
      <c r="U29" s="1022"/>
      <c r="V29" s="1022"/>
      <c r="W29" s="1022"/>
      <c r="X29" s="1022"/>
    </row>
    <row r="30" spans="1:24" s="72" customFormat="1" ht="14.25" customHeight="1">
      <c r="A30" s="517"/>
      <c r="B30" s="517"/>
      <c r="C30" s="517"/>
      <c r="D30" s="517"/>
      <c r="E30" s="517"/>
      <c r="F30" s="517"/>
      <c r="G30" s="517"/>
      <c r="H30" s="649"/>
      <c r="J30" s="367"/>
      <c r="R30" s="74"/>
      <c r="S30" s="1022"/>
      <c r="T30" s="1022"/>
      <c r="U30" s="1022"/>
      <c r="V30" s="1022"/>
      <c r="W30" s="1022"/>
      <c r="X30" s="1022"/>
    </row>
    <row r="31" spans="1:24" s="72" customFormat="1" ht="37.5" customHeight="1">
      <c r="A31" s="2695" t="str">
        <f>"2.  LFA disbursement recommendation (amount in: "&amp;IF(D10="","please select currency in 'PR_Section1A')",D10&amp;"):")</f>
        <v>2.  LFA disbursement recommendation (amount in: USD):</v>
      </c>
      <c r="B31" s="2695"/>
      <c r="C31" s="2695"/>
      <c r="D31" s="2695"/>
      <c r="E31" s="2695"/>
      <c r="F31" s="2695"/>
      <c r="G31" s="2695"/>
      <c r="H31" s="817">
        <f>'LFA_Disbursement Recommend_5B'!K44</f>
        <v>0</v>
      </c>
      <c r="J31" s="378" t="s">
        <v>667</v>
      </c>
      <c r="R31" s="74"/>
      <c r="S31" s="1022"/>
      <c r="T31" s="1022"/>
      <c r="U31" s="1022"/>
      <c r="V31" s="1022"/>
      <c r="W31" s="1022"/>
      <c r="X31" s="1022"/>
    </row>
    <row r="32" spans="1:24" s="72" customFormat="1" ht="14.25">
      <c r="A32" s="86"/>
      <c r="B32" s="86"/>
      <c r="C32" s="86"/>
      <c r="D32" s="86"/>
      <c r="E32" s="86"/>
      <c r="F32" s="86"/>
      <c r="G32" s="86"/>
      <c r="H32" s="86"/>
      <c r="I32" s="86"/>
      <c r="J32" s="72" t="s">
        <v>411</v>
      </c>
      <c r="R32" s="74"/>
      <c r="S32" s="1022"/>
      <c r="T32" s="1022"/>
      <c r="U32" s="1022"/>
      <c r="V32" s="1022"/>
      <c r="W32" s="1022"/>
      <c r="X32" s="1022"/>
    </row>
    <row r="33" spans="1:24" s="72" customFormat="1" ht="60" customHeight="1">
      <c r="A33" s="2727" t="s">
        <v>281</v>
      </c>
      <c r="B33" s="2727"/>
      <c r="D33" s="1155" t="s">
        <v>275</v>
      </c>
      <c r="E33" s="86"/>
      <c r="F33" s="1155" t="s">
        <v>282</v>
      </c>
      <c r="G33" s="86"/>
      <c r="H33" s="669" t="s">
        <v>300</v>
      </c>
      <c r="I33" s="86"/>
      <c r="J33" s="86" t="s">
        <v>266</v>
      </c>
      <c r="R33" s="74"/>
      <c r="S33" s="1022"/>
      <c r="T33" s="1022"/>
      <c r="U33" s="1022"/>
      <c r="V33" s="1022"/>
      <c r="W33" s="1022"/>
      <c r="X33" s="1022"/>
    </row>
    <row r="34" spans="1:24" s="72" customFormat="1" ht="46.5" customHeight="1">
      <c r="A34" s="1155"/>
      <c r="B34" s="1221">
        <f>'LFA_Total PR Cash Outflow_3A'!H13+'LFA_Disbursement Recommend_5B'!M18+'LFA_Disbursement Recommend_5B'!M22+'LFA_Disbursement Recommend_5B'!M28</f>
        <v>2337042.0700000003</v>
      </c>
      <c r="C34" s="86"/>
      <c r="D34" s="1223"/>
      <c r="E34" s="86"/>
      <c r="F34" s="1221">
        <f>H31+D34</f>
        <v>0</v>
      </c>
      <c r="G34" s="86"/>
      <c r="H34" s="1220">
        <f>IF(B34=0, "", F34/B34)</f>
        <v>0</v>
      </c>
      <c r="I34" s="86"/>
      <c r="J34" s="1222" t="s">
        <v>610</v>
      </c>
      <c r="R34" s="74"/>
      <c r="S34" s="1022"/>
      <c r="T34" s="1022"/>
      <c r="U34" s="1022"/>
      <c r="V34" s="1022"/>
      <c r="W34" s="1022"/>
      <c r="X34" s="1022"/>
    </row>
    <row r="35" spans="1:24" s="91" customFormat="1" ht="27" customHeight="1">
      <c r="A35" s="92" t="s">
        <v>276</v>
      </c>
      <c r="B35" s="92"/>
      <c r="C35" s="92"/>
      <c r="D35" s="92"/>
      <c r="E35" s="92"/>
      <c r="F35" s="92"/>
      <c r="G35" s="92"/>
      <c r="H35" s="1178"/>
      <c r="I35" s="86"/>
      <c r="R35" s="510"/>
      <c r="S35" s="347"/>
      <c r="T35" s="347"/>
      <c r="U35" s="347"/>
      <c r="V35" s="347"/>
      <c r="W35" s="347"/>
      <c r="X35" s="347"/>
    </row>
    <row r="36" spans="1:24" s="72" customFormat="1" ht="14.25">
      <c r="A36" s="86"/>
      <c r="B36" s="86"/>
      <c r="C36" s="86"/>
      <c r="D36" s="86"/>
      <c r="E36" s="86"/>
      <c r="F36" s="86"/>
      <c r="G36" s="86"/>
      <c r="H36" s="86"/>
      <c r="I36" s="86"/>
      <c r="R36" s="74"/>
      <c r="S36" s="1022"/>
      <c r="T36" s="1022"/>
      <c r="U36" s="1022"/>
      <c r="V36" s="1022"/>
      <c r="W36" s="1022"/>
      <c r="X36" s="1022"/>
    </row>
    <row r="37" spans="1:24" s="17" customFormat="1" ht="14.25">
      <c r="A37" s="2728" t="s">
        <v>284</v>
      </c>
      <c r="B37" s="2728"/>
      <c r="C37" s="2728"/>
      <c r="D37" s="2728"/>
      <c r="E37" s="2728"/>
      <c r="F37" s="2728"/>
      <c r="G37" s="2728"/>
      <c r="H37" s="69"/>
      <c r="I37" s="69"/>
      <c r="J37" s="72"/>
      <c r="K37" s="74"/>
      <c r="L37" s="74"/>
      <c r="M37" s="74"/>
      <c r="N37" s="74"/>
      <c r="O37" s="74"/>
      <c r="P37" s="74"/>
      <c r="Q37" s="74"/>
      <c r="R37" s="74"/>
      <c r="S37" s="1022"/>
      <c r="T37" s="1022"/>
      <c r="U37" s="1022"/>
      <c r="V37" s="1022"/>
      <c r="W37" s="1022"/>
      <c r="X37" s="1022"/>
    </row>
    <row r="38" spans="1:24" s="75" customFormat="1" ht="22.5" customHeight="1">
      <c r="A38" s="2699"/>
      <c r="B38" s="2700"/>
      <c r="C38" s="2700"/>
      <c r="D38" s="2700"/>
      <c r="E38" s="2700"/>
      <c r="F38" s="2700"/>
      <c r="G38" s="2700"/>
      <c r="H38" s="2700"/>
      <c r="I38" s="2700"/>
      <c r="J38" s="2701"/>
      <c r="S38" s="88"/>
      <c r="T38" s="88"/>
      <c r="U38" s="88"/>
      <c r="V38" s="88"/>
      <c r="W38" s="88"/>
      <c r="X38" s="88"/>
    </row>
    <row r="39" spans="1:24" s="75" customFormat="1" ht="54.75" customHeight="1">
      <c r="A39" s="2702"/>
      <c r="B39" s="2703"/>
      <c r="C39" s="2703"/>
      <c r="D39" s="2703"/>
      <c r="E39" s="2703"/>
      <c r="F39" s="2703"/>
      <c r="G39" s="2703"/>
      <c r="H39" s="2703"/>
      <c r="I39" s="2703"/>
      <c r="J39" s="2704"/>
      <c r="S39" s="88"/>
      <c r="T39" s="88"/>
      <c r="U39" s="88"/>
      <c r="V39" s="88"/>
      <c r="W39" s="88"/>
      <c r="X39" s="88"/>
    </row>
    <row r="40" spans="1:24" s="75" customFormat="1" ht="31.5" customHeight="1">
      <c r="A40" s="72"/>
      <c r="B40" s="72"/>
      <c r="C40" s="72"/>
      <c r="D40" s="72"/>
      <c r="E40" s="72"/>
      <c r="F40" s="72"/>
      <c r="G40" s="72"/>
      <c r="H40" s="72"/>
      <c r="I40" s="72"/>
      <c r="J40" s="72"/>
      <c r="S40" s="88"/>
      <c r="T40" s="88"/>
      <c r="U40" s="88"/>
      <c r="V40" s="88"/>
      <c r="W40" s="88"/>
      <c r="X40" s="88"/>
    </row>
    <row r="41" spans="1:24" s="75" customFormat="1" ht="31.5" customHeight="1">
      <c r="A41" s="2141" t="s">
        <v>278</v>
      </c>
      <c r="B41" s="2142"/>
      <c r="C41" s="2142"/>
      <c r="D41" s="2142"/>
      <c r="E41" s="2142"/>
      <c r="F41" s="2142"/>
      <c r="G41" s="2142"/>
      <c r="H41" s="2142"/>
      <c r="I41" s="2142"/>
      <c r="J41" s="2142"/>
      <c r="K41" s="2142"/>
      <c r="L41" s="2142"/>
      <c r="M41" s="2142"/>
      <c r="N41" s="2142"/>
      <c r="O41" s="2142"/>
      <c r="P41" s="2142"/>
      <c r="S41" s="88"/>
      <c r="T41" s="88"/>
      <c r="U41" s="88"/>
      <c r="V41" s="88"/>
      <c r="W41" s="88"/>
      <c r="X41" s="88"/>
    </row>
    <row r="42" spans="1:24" s="75" customFormat="1" ht="41.25" customHeight="1">
      <c r="A42" s="1184" t="s">
        <v>503</v>
      </c>
      <c r="J42" s="1185" t="s">
        <v>505</v>
      </c>
      <c r="S42" s="88"/>
      <c r="T42" s="88"/>
      <c r="U42" s="88"/>
      <c r="V42" s="88"/>
      <c r="W42" s="88"/>
      <c r="X42" s="88"/>
    </row>
    <row r="43" spans="1:24" s="75" customFormat="1" ht="36" customHeight="1">
      <c r="B43" s="518" t="s">
        <v>365</v>
      </c>
      <c r="C43" s="87" t="s">
        <v>492</v>
      </c>
      <c r="I43" s="76"/>
      <c r="J43" s="2729" t="s">
        <v>1144</v>
      </c>
      <c r="K43" s="2729"/>
      <c r="L43" s="2729"/>
      <c r="M43" s="2729"/>
      <c r="S43" s="88"/>
      <c r="T43" s="88"/>
      <c r="U43" s="88"/>
      <c r="V43" s="88"/>
      <c r="W43" s="88"/>
      <c r="X43" s="88"/>
    </row>
    <row r="44" spans="1:24" s="75" customFormat="1" ht="30.75" customHeight="1">
      <c r="B44" s="518" t="s">
        <v>365</v>
      </c>
      <c r="C44" s="87" t="s">
        <v>493</v>
      </c>
      <c r="I44" s="76"/>
      <c r="J44" s="2729" t="s">
        <v>1147</v>
      </c>
      <c r="K44" s="2729"/>
      <c r="L44" s="2729"/>
      <c r="M44" s="2729"/>
      <c r="S44" s="88"/>
      <c r="T44" s="88"/>
      <c r="U44" s="88"/>
      <c r="V44" s="88"/>
      <c r="W44" s="88"/>
      <c r="X44" s="88"/>
    </row>
    <row r="45" spans="1:24" s="75" customFormat="1" ht="40.5" customHeight="1">
      <c r="B45" s="518" t="s">
        <v>365</v>
      </c>
      <c r="C45" s="2696" t="s">
        <v>504</v>
      </c>
      <c r="D45" s="2696"/>
      <c r="E45" s="2696"/>
      <c r="F45" s="2696"/>
      <c r="G45" s="2696"/>
      <c r="H45" s="2696"/>
      <c r="I45" s="76"/>
      <c r="J45" s="2730" t="s">
        <v>1144</v>
      </c>
      <c r="K45" s="2731"/>
      <c r="L45" s="2731"/>
      <c r="M45" s="2732"/>
      <c r="S45" s="88"/>
      <c r="T45" s="88"/>
      <c r="U45" s="88"/>
      <c r="V45" s="88"/>
      <c r="W45" s="88"/>
      <c r="X45" s="88"/>
    </row>
    <row r="46" spans="1:24" s="75" customFormat="1" ht="42" customHeight="1">
      <c r="B46" s="518" t="s">
        <v>365</v>
      </c>
      <c r="C46" s="2696" t="s">
        <v>494</v>
      </c>
      <c r="D46" s="2696"/>
      <c r="E46" s="2696"/>
      <c r="F46" s="2696"/>
      <c r="G46" s="2696"/>
      <c r="H46" s="2696"/>
      <c r="J46" s="2334" t="s">
        <v>1144</v>
      </c>
      <c r="K46" s="2334"/>
      <c r="L46" s="2334"/>
      <c r="M46" s="2334"/>
      <c r="S46" s="88"/>
      <c r="T46" s="88"/>
      <c r="U46" s="88"/>
      <c r="V46" s="88"/>
      <c r="W46" s="88"/>
      <c r="X46" s="88"/>
    </row>
    <row r="47" spans="1:24" s="75" customFormat="1" ht="55.5" customHeight="1">
      <c r="B47" s="518" t="s">
        <v>365</v>
      </c>
      <c r="C47" s="87" t="s">
        <v>495</v>
      </c>
      <c r="I47" s="76"/>
      <c r="J47" s="2708" t="s">
        <v>1152</v>
      </c>
      <c r="K47" s="2708"/>
      <c r="L47" s="2708"/>
      <c r="M47" s="2708"/>
      <c r="S47" s="88"/>
      <c r="T47" s="88"/>
      <c r="U47" s="88"/>
      <c r="V47" s="88"/>
      <c r="W47" s="88"/>
      <c r="X47" s="88"/>
    </row>
    <row r="48" spans="1:24" s="75" customFormat="1" ht="32.25" customHeight="1">
      <c r="B48" s="518" t="s">
        <v>365</v>
      </c>
      <c r="C48" s="1229" t="s">
        <v>299</v>
      </c>
      <c r="D48" s="1229"/>
      <c r="E48" s="1229"/>
      <c r="F48" s="1229"/>
      <c r="G48" s="1229"/>
      <c r="H48" s="1229"/>
      <c r="I48" s="516"/>
      <c r="J48" s="2342" t="s">
        <v>1145</v>
      </c>
      <c r="K48" s="2624"/>
      <c r="L48" s="2624"/>
      <c r="M48" s="2624"/>
      <c r="S48" s="88"/>
      <c r="T48" s="88"/>
      <c r="U48" s="88"/>
      <c r="V48" s="88"/>
      <c r="W48" s="88"/>
      <c r="X48" s="88"/>
    </row>
    <row r="49" spans="1:24" s="75" customFormat="1" ht="32.25" customHeight="1">
      <c r="B49" s="518" t="s">
        <v>610</v>
      </c>
      <c r="C49" s="1230" t="s">
        <v>279</v>
      </c>
      <c r="D49" s="666"/>
      <c r="E49" s="666"/>
      <c r="F49" s="666"/>
      <c r="G49" s="666"/>
      <c r="H49" s="666"/>
      <c r="I49" s="666"/>
      <c r="J49" s="2334" t="s">
        <v>1148</v>
      </c>
      <c r="K49" s="2334"/>
      <c r="L49" s="2334"/>
      <c r="M49" s="2334"/>
      <c r="S49" s="88"/>
      <c r="T49" s="88"/>
      <c r="U49" s="88"/>
      <c r="V49" s="88"/>
      <c r="W49" s="88"/>
      <c r="X49" s="88"/>
    </row>
    <row r="50" spans="1:24" s="72" customFormat="1" ht="38.25" customHeight="1">
      <c r="A50" s="75"/>
      <c r="B50" s="518" t="s">
        <v>365</v>
      </c>
      <c r="C50" s="87" t="s">
        <v>351</v>
      </c>
      <c r="D50" s="75"/>
      <c r="E50" s="75"/>
      <c r="F50" s="75"/>
      <c r="G50" s="75"/>
      <c r="H50" s="75"/>
      <c r="I50" s="76"/>
      <c r="J50" s="2334" t="s">
        <v>1146</v>
      </c>
      <c r="K50" s="2334"/>
      <c r="L50" s="2334"/>
      <c r="M50" s="2334"/>
      <c r="R50" s="74"/>
      <c r="S50" s="1022"/>
      <c r="T50" s="1022"/>
      <c r="U50" s="1022"/>
      <c r="V50" s="1022"/>
      <c r="W50" s="1022"/>
      <c r="X50" s="1022"/>
    </row>
    <row r="51" spans="1:24" s="72" customFormat="1" ht="49.5" customHeight="1">
      <c r="A51" s="2709" t="s">
        <v>237</v>
      </c>
      <c r="B51" s="2709"/>
      <c r="C51" s="2709"/>
      <c r="D51" s="2709"/>
      <c r="E51" s="2709"/>
      <c r="F51" s="2709"/>
      <c r="G51" s="2709"/>
      <c r="H51" s="2709"/>
      <c r="I51" s="2709"/>
      <c r="J51" s="2709"/>
      <c r="K51" s="2709"/>
      <c r="L51" s="2709"/>
      <c r="M51" s="2709"/>
      <c r="R51" s="74"/>
      <c r="S51" s="1022"/>
      <c r="T51" s="1022"/>
      <c r="U51" s="1022"/>
      <c r="V51" s="1022"/>
      <c r="W51" s="1022"/>
      <c r="X51" s="1022"/>
    </row>
    <row r="52" spans="1:24" s="72" customFormat="1" ht="25.5" customHeight="1">
      <c r="A52" s="75"/>
      <c r="B52" s="650"/>
      <c r="C52" s="87"/>
      <c r="D52" s="75"/>
      <c r="E52" s="75"/>
      <c r="F52" s="75"/>
      <c r="G52" s="75"/>
      <c r="H52" s="75"/>
      <c r="I52" s="76"/>
      <c r="J52" s="559"/>
      <c r="R52" s="74"/>
      <c r="S52" s="1022"/>
      <c r="T52" s="1022"/>
      <c r="U52" s="1022"/>
      <c r="V52" s="1022"/>
      <c r="W52" s="1022"/>
      <c r="X52" s="1022"/>
    </row>
    <row r="53" spans="1:24" s="75" customFormat="1" ht="43.5" customHeight="1">
      <c r="A53" s="2718" t="s">
        <v>298</v>
      </c>
      <c r="B53" s="2718"/>
      <c r="C53" s="2718"/>
      <c r="D53" s="2718"/>
      <c r="E53" s="2718"/>
      <c r="F53" s="2718"/>
      <c r="G53" s="2718"/>
      <c r="H53" s="2718"/>
      <c r="I53" s="2718"/>
      <c r="J53" s="2718"/>
      <c r="S53" s="88"/>
      <c r="T53" s="88"/>
      <c r="U53" s="88"/>
      <c r="V53" s="88"/>
      <c r="W53" s="88"/>
      <c r="X53" s="88"/>
    </row>
    <row r="54" spans="1:24" s="75" customFormat="1" ht="51.75" customHeight="1">
      <c r="A54" s="2697" t="s">
        <v>634</v>
      </c>
      <c r="B54" s="2698"/>
      <c r="C54" s="2698"/>
      <c r="D54" s="2698"/>
      <c r="E54" s="2698"/>
      <c r="F54" s="2698"/>
      <c r="G54" s="2698"/>
      <c r="H54" s="2698"/>
      <c r="I54" s="2698"/>
      <c r="J54" s="2698"/>
      <c r="S54" s="88"/>
      <c r="T54" s="88"/>
      <c r="U54" s="88"/>
      <c r="V54" s="88"/>
      <c r="W54" s="88"/>
      <c r="X54" s="88"/>
    </row>
    <row r="55" spans="1:24" s="75" customFormat="1" ht="49.5" customHeight="1">
      <c r="A55" s="2720" t="s">
        <v>1162</v>
      </c>
      <c r="B55" s="2721"/>
      <c r="C55" s="2721"/>
      <c r="D55" s="2721"/>
      <c r="E55" s="2721"/>
      <c r="F55" s="2721"/>
      <c r="G55" s="2721"/>
      <c r="H55" s="2721"/>
      <c r="I55" s="2721"/>
      <c r="J55" s="2721"/>
      <c r="K55" s="2721"/>
      <c r="L55" s="2721"/>
      <c r="M55" s="2722"/>
      <c r="S55" s="88"/>
      <c r="T55" s="88"/>
      <c r="U55" s="88"/>
      <c r="V55" s="88"/>
      <c r="W55" s="88"/>
      <c r="X55" s="88"/>
    </row>
    <row r="56" spans="1:24" s="75" customFormat="1" ht="48" customHeight="1">
      <c r="A56" s="2723"/>
      <c r="B56" s="2724"/>
      <c r="C56" s="2724"/>
      <c r="D56" s="2724"/>
      <c r="E56" s="2724"/>
      <c r="F56" s="2724"/>
      <c r="G56" s="2724"/>
      <c r="H56" s="2724"/>
      <c r="I56" s="2724"/>
      <c r="J56" s="2724"/>
      <c r="K56" s="2724"/>
      <c r="L56" s="2724"/>
      <c r="M56" s="2725"/>
      <c r="S56" s="88"/>
      <c r="T56" s="88"/>
      <c r="U56" s="88"/>
      <c r="V56" s="88"/>
      <c r="W56" s="88"/>
      <c r="X56" s="88"/>
    </row>
    <row r="57" spans="1:24" s="1360" customFormat="1" ht="66.75" customHeight="1">
      <c r="A57" s="2726" t="s">
        <v>645</v>
      </c>
      <c r="B57" s="2726"/>
      <c r="C57" s="2726"/>
      <c r="D57" s="2726"/>
      <c r="E57" s="2726"/>
      <c r="F57" s="2726"/>
      <c r="G57" s="2726"/>
      <c r="H57" s="2726"/>
      <c r="I57" s="2726"/>
      <c r="J57" s="2726"/>
      <c r="K57" s="1359"/>
      <c r="L57" s="1359"/>
      <c r="M57" s="1359"/>
      <c r="S57" s="474"/>
      <c r="T57" s="474"/>
      <c r="U57" s="474"/>
      <c r="V57" s="474"/>
      <c r="W57" s="474"/>
      <c r="X57" s="474"/>
    </row>
    <row r="58" spans="1:24" s="72" customFormat="1" ht="30" customHeight="1">
      <c r="A58" s="1357" t="s">
        <v>496</v>
      </c>
      <c r="B58" s="1357"/>
      <c r="C58" s="1357"/>
      <c r="D58" s="2719"/>
      <c r="E58" s="2719"/>
      <c r="F58" s="2719"/>
      <c r="G58" s="1361"/>
      <c r="H58" s="1361"/>
      <c r="I58" s="1361"/>
      <c r="J58" s="1358"/>
      <c r="S58" s="69"/>
      <c r="T58" s="69"/>
      <c r="U58" s="69"/>
      <c r="V58" s="69"/>
      <c r="W58" s="2"/>
      <c r="X58" s="2"/>
    </row>
    <row r="59" spans="1:24" s="72" customFormat="1" ht="36" customHeight="1">
      <c r="A59" s="1357" t="s">
        <v>497</v>
      </c>
      <c r="B59" s="1357"/>
      <c r="C59" s="1357"/>
      <c r="D59" s="2694" t="s">
        <v>1149</v>
      </c>
      <c r="E59" s="2694"/>
      <c r="F59" s="2694"/>
      <c r="G59" s="1361"/>
      <c r="H59" s="1361"/>
      <c r="I59" s="1361"/>
      <c r="J59" s="1358"/>
      <c r="S59" s="69"/>
      <c r="T59" s="69"/>
      <c r="U59" s="69"/>
      <c r="V59" s="69"/>
      <c r="W59" s="2"/>
      <c r="X59" s="2"/>
    </row>
    <row r="60" spans="1:24" s="72" customFormat="1" ht="36" customHeight="1">
      <c r="A60" s="1357" t="s">
        <v>498</v>
      </c>
      <c r="B60" s="1357"/>
      <c r="C60" s="1357"/>
      <c r="D60" s="2694" t="s">
        <v>1150</v>
      </c>
      <c r="E60" s="2694"/>
      <c r="F60" s="2694"/>
      <c r="G60" s="1361"/>
      <c r="H60" s="1361"/>
      <c r="I60" s="1361"/>
      <c r="J60" s="1358"/>
      <c r="S60" s="69"/>
      <c r="T60" s="69"/>
      <c r="U60" s="69"/>
      <c r="V60" s="69"/>
      <c r="W60" s="2"/>
      <c r="X60" s="2"/>
    </row>
    <row r="61" spans="1:24" s="72" customFormat="1" ht="37.5" customHeight="1">
      <c r="A61" s="1357" t="s">
        <v>499</v>
      </c>
      <c r="B61" s="1357"/>
      <c r="C61" s="1357"/>
      <c r="D61" s="2694" t="s">
        <v>1151</v>
      </c>
      <c r="E61" s="2694"/>
      <c r="F61" s="2694"/>
      <c r="G61" s="1361"/>
      <c r="H61" s="1361"/>
      <c r="I61" s="1361"/>
      <c r="J61" s="1358"/>
      <c r="S61" s="69"/>
      <c r="T61" s="69"/>
      <c r="U61" s="69"/>
      <c r="V61" s="69"/>
      <c r="W61" s="2"/>
      <c r="X61" s="2"/>
    </row>
    <row r="62" spans="1:24" s="72" customFormat="1" ht="18">
      <c r="A62" s="1358"/>
      <c r="B62" s="1358"/>
      <c r="S62" s="69"/>
      <c r="T62" s="69"/>
      <c r="U62" s="69"/>
      <c r="V62" s="69"/>
      <c r="W62" s="2"/>
      <c r="X62" s="2"/>
    </row>
    <row r="63" spans="1:24" s="72" customFormat="1" ht="15">
      <c r="A63" s="651"/>
      <c r="S63" s="69"/>
      <c r="T63" s="69"/>
      <c r="U63" s="69"/>
      <c r="V63" s="69"/>
      <c r="W63" s="69"/>
      <c r="X63" s="69"/>
    </row>
    <row r="64" spans="1:24" s="72" customFormat="1" ht="15.75">
      <c r="A64" s="2709"/>
      <c r="B64" s="2709"/>
      <c r="C64" s="2709"/>
      <c r="D64" s="2709"/>
      <c r="E64" s="2709"/>
      <c r="F64" s="2709"/>
      <c r="G64" s="2709"/>
      <c r="H64" s="2709"/>
      <c r="I64" s="2709"/>
      <c r="J64" s="2709"/>
      <c r="S64" s="69"/>
      <c r="T64" s="69"/>
      <c r="U64" s="69"/>
      <c r="V64" s="69"/>
      <c r="W64" s="69"/>
      <c r="X64" s="69"/>
    </row>
    <row r="65" spans="1:24" s="72" customFormat="1">
      <c r="S65" s="69"/>
      <c r="T65" s="69"/>
      <c r="U65" s="69"/>
      <c r="V65" s="69"/>
      <c r="W65" s="69"/>
      <c r="X65" s="69"/>
    </row>
    <row r="66" spans="1:24">
      <c r="A66" s="72"/>
      <c r="B66" s="72"/>
      <c r="C66" s="72"/>
      <c r="D66" s="72"/>
      <c r="E66" s="72"/>
      <c r="F66" s="72"/>
      <c r="G66" s="72"/>
      <c r="H66" s="72"/>
      <c r="I66" s="72"/>
      <c r="J66" s="72"/>
    </row>
    <row r="67" spans="1:24">
      <c r="A67" s="72"/>
      <c r="B67" s="72"/>
      <c r="C67" s="72"/>
      <c r="D67" s="72"/>
      <c r="E67" s="72"/>
      <c r="F67" s="72"/>
      <c r="G67" s="72"/>
      <c r="H67" s="72"/>
      <c r="I67" s="72"/>
      <c r="J67" s="72"/>
    </row>
    <row r="68" spans="1:24">
      <c r="A68" s="72"/>
      <c r="B68" s="72"/>
      <c r="C68" s="72"/>
      <c r="D68" s="72"/>
      <c r="E68" s="72"/>
      <c r="F68" s="72"/>
      <c r="G68" s="72"/>
      <c r="H68" s="72"/>
      <c r="I68" s="72"/>
      <c r="J68" s="72"/>
    </row>
    <row r="69" spans="1:24">
      <c r="A69" s="72"/>
      <c r="B69" s="72"/>
      <c r="C69" s="72"/>
      <c r="D69" s="72"/>
      <c r="E69" s="72"/>
      <c r="F69" s="72"/>
      <c r="G69" s="72"/>
      <c r="H69" s="72"/>
      <c r="I69" s="72"/>
      <c r="J69" s="72"/>
    </row>
  </sheetData>
  <sheetProtection formatCells="0" formatColumns="0" formatRows="0"/>
  <customSheetViews>
    <customSheetView guid="{E26F941C-F347-432D-B4B3-73B25F002075}" scale="75" fitToPage="1" hiddenColumns="1" topLeftCell="A19">
      <pane xSplit="9.7868131868131876" topLeftCell="J1"/>
      <selection activeCell="J34" sqref="J34"/>
      <pageMargins left="0.42" right="0.37" top="0.42" bottom="0.54" header="0.33" footer="0.36"/>
      <printOptions horizontalCentered="1"/>
      <pageSetup paperSize="9" scale="49" orientation="landscape" cellComments="asDisplayed" r:id="rId1"/>
      <headerFooter alignWithMargins="0">
        <oddFooter>&amp;L&amp;9SD 3.1A - Form, Ongoing DR/PU and LFA Review and Recommendation_v2.1 February 2006&amp;R&amp;9Page &amp;P of &amp;N</oddFooter>
      </headerFooter>
    </customSheetView>
  </customSheetViews>
  <mergeCells count="58">
    <mergeCell ref="J43:M43"/>
    <mergeCell ref="J44:M44"/>
    <mergeCell ref="J45:M45"/>
    <mergeCell ref="I12:K12"/>
    <mergeCell ref="I13:K13"/>
    <mergeCell ref="D25:I25"/>
    <mergeCell ref="D26:I26"/>
    <mergeCell ref="D27:I27"/>
    <mergeCell ref="L14:O14"/>
    <mergeCell ref="D23:I23"/>
    <mergeCell ref="A64:J64"/>
    <mergeCell ref="A1:J1"/>
    <mergeCell ref="D6:G6"/>
    <mergeCell ref="D7:G7"/>
    <mergeCell ref="D3:G3"/>
    <mergeCell ref="D5:G5"/>
    <mergeCell ref="A53:J53"/>
    <mergeCell ref="A3:C3"/>
    <mergeCell ref="A5:C5"/>
    <mergeCell ref="D58:F58"/>
    <mergeCell ref="A55:M56"/>
    <mergeCell ref="A57:J57"/>
    <mergeCell ref="A33:B33"/>
    <mergeCell ref="A37:G37"/>
    <mergeCell ref="A22:C22"/>
    <mergeCell ref="I14:K14"/>
    <mergeCell ref="J49:M49"/>
    <mergeCell ref="J50:M50"/>
    <mergeCell ref="A51:M51"/>
    <mergeCell ref="A13:C13"/>
    <mergeCell ref="A6:C6"/>
    <mergeCell ref="A7:C7"/>
    <mergeCell ref="D10:G10"/>
    <mergeCell ref="D14:G14"/>
    <mergeCell ref="D8:G8"/>
    <mergeCell ref="A9:C9"/>
    <mergeCell ref="A8:C8"/>
    <mergeCell ref="A10:C10"/>
    <mergeCell ref="A12:C12"/>
    <mergeCell ref="D9:G9"/>
    <mergeCell ref="D22:I22"/>
    <mergeCell ref="I6:M8"/>
    <mergeCell ref="D61:F61"/>
    <mergeCell ref="A31:G31"/>
    <mergeCell ref="A14:C14"/>
    <mergeCell ref="C45:H45"/>
    <mergeCell ref="D60:F60"/>
    <mergeCell ref="C46:H46"/>
    <mergeCell ref="A54:J54"/>
    <mergeCell ref="A38:J39"/>
    <mergeCell ref="D59:F59"/>
    <mergeCell ref="J46:M46"/>
    <mergeCell ref="A17:P17"/>
    <mergeCell ref="A41:P41"/>
    <mergeCell ref="A29:G29"/>
    <mergeCell ref="D24:I24"/>
    <mergeCell ref="J48:M48"/>
    <mergeCell ref="J47:M47"/>
  </mergeCells>
  <phoneticPr fontId="29" type="noConversion"/>
  <conditionalFormatting sqref="H29:H30">
    <cfRule type="cellIs" dxfId="5" priority="7" stopIfTrue="1" operator="notEqual">
      <formula>#REF!</formula>
    </cfRule>
  </conditionalFormatting>
  <conditionalFormatting sqref="H31">
    <cfRule type="cellIs" dxfId="4" priority="6" stopIfTrue="1" operator="notEqual">
      <formula>#REF!</formula>
    </cfRule>
  </conditionalFormatting>
  <dataValidations count="9">
    <dataValidation type="list" allowBlank="1" showInputMessage="1" showErrorMessage="1" sqref="B46 B52 B50">
      <formula1>"Select,Yes,No,Partially"</formula1>
    </dataValidation>
    <dataValidation type="list" allowBlank="1" showInputMessage="1" showErrorMessage="1" sqref="B44">
      <formula1>"Select,Yes,No,Partially,N/A"</formula1>
    </dataValidation>
    <dataValidation type="list" allowBlank="1" showInputMessage="1" showErrorMessage="1" sqref="B43 B45 B49">
      <formula1>"Select,Yes,No"</formula1>
    </dataValidation>
    <dataValidation type="list" allowBlank="1" showInputMessage="1" showErrorMessage="1" sqref="B47">
      <formula1>"Select,Yes,No,N/A"</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formula1>"Select,1,2,3,4,5,6,7,8,9,10,11,12,13,14,15,16,17,18,19,20"</formula1>
    </dataValidation>
    <dataValidation type="list" allowBlank="1" showInputMessage="1" showErrorMessage="1" sqref="B48 J34 H35">
      <formula1>"Select, Yes, No"</formula1>
    </dataValidation>
  </dataValidations>
  <printOptions horizontalCentered="1"/>
  <pageMargins left="0.74803149606299213" right="0.74803149606299213" top="0.59055118110236227" bottom="0.59055118110236227" header="0.51181102362204722" footer="0.51181102362204722"/>
  <pageSetup paperSize="9" scale="47" fitToHeight="0" orientation="landscape" cellComments="asDisplayed" r:id="rId2"/>
  <headerFooter alignWithMargins="0">
    <oddFooter>&amp;L&amp;9&amp;F&amp;C&amp;A&amp;R&amp;9Page &amp;P of &amp;N</oddFooter>
  </headerFooter>
  <rowBreaks count="1" manualBreakCount="1">
    <brk id="40" max="15" man="1"/>
  </rowBreaks>
  <ignoredErrors>
    <ignoredError sqref="D12:D13 E5:G5 G14 E14 F12:F14" unlockedFormula="1"/>
  </ignoredErrors>
  <drawing r:id="rId3"/>
</worksheet>
</file>

<file path=xl/worksheets/sheet29.xml><?xml version="1.0" encoding="utf-8"?>
<worksheet xmlns="http://schemas.openxmlformats.org/spreadsheetml/2006/main" xmlns:r="http://schemas.openxmlformats.org/officeDocument/2006/relationships">
  <sheetPr>
    <tabColor indexed="40"/>
    <pageSetUpPr fitToPage="1"/>
  </sheetPr>
  <dimension ref="A1:P82"/>
  <sheetViews>
    <sheetView view="pageBreakPreview" topLeftCell="A15" zoomScale="60" zoomScaleNormal="75" workbookViewId="0">
      <selection activeCell="S22" sqref="S22"/>
    </sheetView>
  </sheetViews>
  <sheetFormatPr defaultColWidth="13.28515625" defaultRowHeight="12.75"/>
  <cols>
    <col min="1" max="1" width="2.42578125" style="761" customWidth="1"/>
    <col min="2" max="2" width="50" style="761" customWidth="1"/>
    <col min="3" max="3" width="50.140625" style="761" customWidth="1"/>
    <col min="4" max="4" width="20.85546875" style="761" customWidth="1"/>
    <col min="5" max="5" width="25.28515625" style="761" customWidth="1"/>
    <col min="6" max="6" width="36" style="761" customWidth="1"/>
    <col min="7" max="7" width="9.140625" style="761" customWidth="1"/>
    <col min="8" max="8" width="10.140625" style="761" customWidth="1"/>
    <col min="9" max="9" width="9.140625" style="761" customWidth="1"/>
    <col min="10" max="10" width="4.42578125" style="761" hidden="1" customWidth="1"/>
    <col min="11" max="11" width="60.85546875" style="761" hidden="1" customWidth="1"/>
    <col min="12" max="15" width="22" style="761" hidden="1" customWidth="1"/>
    <col min="16" max="16" width="9.140625" style="761" hidden="1" customWidth="1"/>
    <col min="17" max="224" width="9.140625" style="761" customWidth="1"/>
    <col min="225" max="225" width="2.42578125" style="761" customWidth="1"/>
    <col min="226" max="226" width="1.7109375" style="761" customWidth="1"/>
    <col min="227" max="227" width="7" style="761" customWidth="1"/>
    <col min="228" max="228" width="10.140625" style="761" customWidth="1"/>
    <col min="229" max="229" width="15" style="761" customWidth="1"/>
    <col min="230" max="233" width="5.42578125" style="761" customWidth="1"/>
    <col min="234" max="250" width="4.140625" style="761" customWidth="1"/>
    <col min="251" max="251" width="1.7109375" style="761" customWidth="1"/>
    <col min="252" max="16384" width="13.28515625" style="761"/>
  </cols>
  <sheetData>
    <row r="1" spans="1:15" ht="23.25" customHeight="1">
      <c r="A1" s="2156" t="s">
        <v>632</v>
      </c>
      <c r="B1" s="2156"/>
      <c r="C1" s="2156"/>
      <c r="D1" s="1004"/>
    </row>
    <row r="2" spans="1:15" ht="9.75" customHeight="1">
      <c r="A2" s="1004"/>
      <c r="B2" s="1004"/>
      <c r="C2" s="1004"/>
      <c r="D2" s="1004"/>
    </row>
    <row r="3" spans="1:15" ht="75" customHeight="1">
      <c r="A3" s="1011"/>
      <c r="B3" s="2733" t="s">
        <v>203</v>
      </c>
      <c r="C3" s="2733"/>
      <c r="D3" s="2733"/>
      <c r="E3" s="2733"/>
      <c r="F3" s="1011"/>
    </row>
    <row r="5" spans="1:15" ht="18">
      <c r="B5" s="1270" t="s">
        <v>235</v>
      </c>
      <c r="C5" s="1270"/>
      <c r="D5" s="1270"/>
      <c r="E5" s="1270"/>
      <c r="F5" s="1270"/>
    </row>
    <row r="7" spans="1:15" ht="15.75">
      <c r="B7" s="560" t="s">
        <v>135</v>
      </c>
      <c r="C7" s="870">
        <f>'PR_Bank Details_7C'!C7</f>
        <v>0</v>
      </c>
    </row>
    <row r="9" spans="1:15" ht="15">
      <c r="B9" s="1005" t="s">
        <v>136</v>
      </c>
      <c r="C9" s="1005"/>
      <c r="D9" s="1005"/>
      <c r="E9" s="1005"/>
      <c r="F9" s="1005"/>
      <c r="K9" s="1005" t="s">
        <v>136</v>
      </c>
      <c r="L9" s="1005"/>
      <c r="M9" s="1005"/>
      <c r="N9" s="1005"/>
      <c r="O9" s="1005"/>
    </row>
    <row r="10" spans="1:15" s="762" customFormat="1" ht="15" thickBot="1">
      <c r="A10" s="761"/>
      <c r="B10" s="761"/>
      <c r="C10" s="761"/>
      <c r="D10" s="761"/>
      <c r="E10" s="761"/>
      <c r="F10" s="761"/>
      <c r="J10" s="761"/>
      <c r="K10" s="761"/>
      <c r="L10" s="761"/>
      <c r="M10" s="761"/>
      <c r="N10" s="761"/>
      <c r="O10" s="761"/>
    </row>
    <row r="11" spans="1:15" s="762" customFormat="1" ht="30">
      <c r="B11" s="562"/>
      <c r="C11" s="563" t="s">
        <v>137</v>
      </c>
      <c r="D11" s="899" t="s">
        <v>187</v>
      </c>
      <c r="K11" s="562"/>
      <c r="L11" s="563" t="s">
        <v>137</v>
      </c>
      <c r="M11" s="899" t="s">
        <v>187</v>
      </c>
    </row>
    <row r="12" spans="1:15" s="762" customFormat="1" ht="30.75" customHeight="1">
      <c r="B12" s="564" t="s">
        <v>188</v>
      </c>
      <c r="C12" s="871" t="str">
        <f>IF(C20="","",C20)</f>
        <v xml:space="preserve">Ministry of Health </v>
      </c>
      <c r="D12" s="873" t="str">
        <f>IF(C30="",C24,C30)</f>
        <v/>
      </c>
      <c r="K12" s="564" t="s">
        <v>188</v>
      </c>
      <c r="L12" s="871" t="str">
        <f>IF(L20="","",L20)</f>
        <v xml:space="preserve">Ministry of Health </v>
      </c>
      <c r="M12" s="873" t="str">
        <f>IF(L30="",L24,L30)</f>
        <v/>
      </c>
    </row>
    <row r="13" spans="1:15" s="762" customFormat="1" ht="30.75" customHeight="1">
      <c r="B13" s="564" t="s">
        <v>139</v>
      </c>
      <c r="C13" s="871" t="str">
        <f>IF(C36="","",C36)</f>
        <v/>
      </c>
      <c r="D13" s="873" t="str">
        <f>IF(C46="",C40,C46)</f>
        <v/>
      </c>
      <c r="K13" s="564" t="s">
        <v>139</v>
      </c>
      <c r="L13" s="871" t="str">
        <f>IF(L36="","",L36)</f>
        <v/>
      </c>
      <c r="M13" s="873" t="str">
        <f>IF(L46="",L40,L46)</f>
        <v/>
      </c>
    </row>
    <row r="14" spans="1:15" s="762" customFormat="1" ht="30.75" customHeight="1">
      <c r="B14" s="564" t="s">
        <v>140</v>
      </c>
      <c r="C14" s="871" t="str">
        <f>IF(C53="","",C53)</f>
        <v/>
      </c>
      <c r="D14" s="873" t="str">
        <f>IF(C63="",C57,C63)</f>
        <v/>
      </c>
      <c r="K14" s="564" t="s">
        <v>140</v>
      </c>
      <c r="L14" s="871" t="str">
        <f>IF(L53="","",L53)</f>
        <v/>
      </c>
      <c r="M14" s="873" t="str">
        <f>IF(L63="",L57,L63)</f>
        <v/>
      </c>
    </row>
    <row r="15" spans="1:15" s="762" customFormat="1" ht="30.75" customHeight="1" thickBot="1">
      <c r="B15" s="565" t="s">
        <v>141</v>
      </c>
      <c r="C15" s="682" t="str">
        <f>IF(C69="","",C69)</f>
        <v/>
      </c>
      <c r="D15" s="874" t="str">
        <f>IF(C79="",C73,C79)</f>
        <v/>
      </c>
      <c r="H15" s="901"/>
      <c r="K15" s="565" t="s">
        <v>141</v>
      </c>
      <c r="L15" s="682" t="str">
        <f>IF(L69="","",L69)</f>
        <v/>
      </c>
      <c r="M15" s="874" t="str">
        <f>IF(L79="",L73,L79)</f>
        <v/>
      </c>
    </row>
    <row r="16" spans="1:15" s="762" customFormat="1" ht="33" customHeight="1" thickBot="1">
      <c r="B16" s="900" t="s">
        <v>185</v>
      </c>
      <c r="D16" s="875">
        <f>SUM(D12:D15)</f>
        <v>0</v>
      </c>
      <c r="E16" s="2158" t="str">
        <f>IF(D16&lt;&gt;'PR_Cash Request_7A&amp;B'!D23,"The total does not match requested amount on PR signature page","")</f>
        <v/>
      </c>
      <c r="F16" s="2159"/>
      <c r="K16" s="900" t="s">
        <v>185</v>
      </c>
      <c r="M16" s="875">
        <f>SUM(M12:M15)</f>
        <v>0</v>
      </c>
      <c r="N16" s="2158" t="str">
        <f>IF(M16&lt;&gt;'PR_Cash Request_7A&amp;B'!M23,"The total does not match requested amount on PR signature page","")</f>
        <v/>
      </c>
      <c r="O16" s="2159"/>
    </row>
    <row r="17" spans="1:15" s="762" customFormat="1" ht="6.75" customHeight="1">
      <c r="G17" s="763"/>
      <c r="H17" s="763"/>
      <c r="I17" s="763"/>
    </row>
    <row r="18" spans="1:15" ht="15">
      <c r="A18" s="762"/>
      <c r="B18" s="1006" t="s">
        <v>138</v>
      </c>
      <c r="C18" s="1006"/>
      <c r="D18" s="1006"/>
      <c r="E18" s="1006"/>
      <c r="F18" s="1006"/>
      <c r="J18" s="762"/>
      <c r="K18" s="1006" t="s">
        <v>138</v>
      </c>
      <c r="L18" s="1006"/>
      <c r="M18" s="1006"/>
      <c r="N18" s="1006"/>
      <c r="O18" s="1006"/>
    </row>
    <row r="19" spans="1:15" s="762" customFormat="1" ht="14.25">
      <c r="A19" s="761"/>
      <c r="B19" s="761"/>
      <c r="C19" s="761"/>
      <c r="D19" s="761"/>
      <c r="E19" s="761"/>
      <c r="F19" s="761"/>
      <c r="J19" s="761"/>
      <c r="K19" s="761"/>
      <c r="L19" s="761"/>
      <c r="M19" s="761"/>
      <c r="N19" s="761"/>
      <c r="O19" s="761"/>
    </row>
    <row r="20" spans="1:15" s="762" customFormat="1" ht="33" customHeight="1">
      <c r="B20" s="461" t="s">
        <v>142</v>
      </c>
      <c r="C20" s="1095" t="str">
        <f>L20</f>
        <v xml:space="preserve">Ministry of Health </v>
      </c>
      <c r="E20" s="905" t="s">
        <v>621</v>
      </c>
      <c r="F20" s="1095" t="str">
        <f>O20</f>
        <v xml:space="preserve">Royal Government of Bhutan </v>
      </c>
      <c r="K20" s="461" t="s">
        <v>142</v>
      </c>
      <c r="L20" s="1095" t="str">
        <f>IF('PR_Bank Details_7C'!C20="","",'PR_Bank Details_7C'!C20)</f>
        <v xml:space="preserve">Ministry of Health </v>
      </c>
      <c r="N20" s="905" t="s">
        <v>621</v>
      </c>
      <c r="O20" s="1095" t="str">
        <f>IF('PR_Bank Details_7C'!F20="","",'PR_Bank Details_7C'!F20)</f>
        <v xml:space="preserve">Royal Government of Bhutan </v>
      </c>
    </row>
    <row r="21" spans="1:15" s="762" customFormat="1" ht="14.25">
      <c r="C21" s="1096"/>
      <c r="E21" s="903"/>
      <c r="F21" s="1102"/>
      <c r="L21" s="1096"/>
      <c r="N21" s="903"/>
      <c r="O21" s="1102"/>
    </row>
    <row r="22" spans="1:15" s="762" customFormat="1" ht="28.5">
      <c r="B22" s="902" t="s">
        <v>192</v>
      </c>
      <c r="C22" s="1109" t="str">
        <f>L22</f>
        <v>USD</v>
      </c>
      <c r="E22" s="905" t="s">
        <v>621</v>
      </c>
      <c r="F22" s="1095" t="str">
        <f>O22</f>
        <v>Federal Reserve Bank of New York</v>
      </c>
      <c r="K22" s="902" t="s">
        <v>192</v>
      </c>
      <c r="L22" s="1095" t="str">
        <f>IF('PR_Bank Details_7C'!C22="","",'PR_Bank Details_7C'!C22)</f>
        <v>USD</v>
      </c>
      <c r="N22" s="905" t="s">
        <v>621</v>
      </c>
      <c r="O22" s="1095" t="str">
        <f>IF('PR_Bank Details_7C'!F22="","",'PR_Bank Details_7C'!F22)</f>
        <v>Federal Reserve Bank of New York</v>
      </c>
    </row>
    <row r="23" spans="1:15" s="762" customFormat="1" ht="14.25">
      <c r="C23" s="1096"/>
      <c r="E23" s="903"/>
      <c r="F23" s="1102"/>
      <c r="L23" s="1096"/>
      <c r="N23" s="903"/>
      <c r="O23" s="1102"/>
    </row>
    <row r="24" spans="1:15" s="762" customFormat="1" ht="30">
      <c r="B24" s="462" t="s">
        <v>189</v>
      </c>
      <c r="C24" s="1105" t="str">
        <f>L24</f>
        <v/>
      </c>
      <c r="D24" s="561"/>
      <c r="E24" s="905" t="s">
        <v>144</v>
      </c>
      <c r="F24" s="1095">
        <f>O24</f>
        <v>2108337</v>
      </c>
      <c r="K24" s="462" t="s">
        <v>189</v>
      </c>
      <c r="L24" s="1095" t="str">
        <f>IF('PR_Bank Details_7C'!C24="","",'PR_Bank Details_7C'!C24)</f>
        <v/>
      </c>
      <c r="M24" s="561"/>
      <c r="N24" s="905" t="s">
        <v>144</v>
      </c>
      <c r="O24" s="1095">
        <f>IF('PR_Bank Details_7C'!F24="","",'PR_Bank Details_7C'!F24)</f>
        <v>2108337</v>
      </c>
    </row>
    <row r="25" spans="1:15" s="762" customFormat="1" ht="14.25">
      <c r="C25" s="1096"/>
      <c r="E25" s="903"/>
      <c r="F25" s="1102"/>
      <c r="L25" s="1096"/>
      <c r="N25" s="903"/>
      <c r="O25" s="1102"/>
    </row>
    <row r="26" spans="1:15" s="762" customFormat="1" ht="28.5">
      <c r="B26" s="462" t="s">
        <v>143</v>
      </c>
      <c r="C26" s="1095" t="str">
        <f>L26</f>
        <v/>
      </c>
      <c r="E26" s="905" t="s">
        <v>193</v>
      </c>
      <c r="F26" s="1095" t="str">
        <f>O26</f>
        <v>33 Liberty Street , NY 1004 ,USA</v>
      </c>
      <c r="K26" s="462" t="s">
        <v>143</v>
      </c>
      <c r="L26" s="1095" t="str">
        <f>IF('PR_Bank Details_7C'!C26="","",'PR_Bank Details_7C'!C26)</f>
        <v/>
      </c>
      <c r="N26" s="905" t="s">
        <v>193</v>
      </c>
      <c r="O26" s="1095" t="str">
        <f>IF('PR_Bank Details_7C'!F26="","",'PR_Bank Details_7C'!F26)</f>
        <v>33 Liberty Street , NY 1004 ,USA</v>
      </c>
    </row>
    <row r="27" spans="1:15" s="762" customFormat="1" ht="14.25">
      <c r="C27" s="1096"/>
      <c r="E27" s="903"/>
      <c r="F27" s="1102"/>
      <c r="L27" s="1096"/>
      <c r="N27" s="903"/>
      <c r="O27" s="1102"/>
    </row>
    <row r="28" spans="1:15" ht="40.5">
      <c r="A28" s="762"/>
      <c r="B28" s="462" t="s">
        <v>190</v>
      </c>
      <c r="C28" s="1109" t="str">
        <f>L28</f>
        <v/>
      </c>
      <c r="D28" s="762"/>
      <c r="E28" s="905" t="s">
        <v>622</v>
      </c>
      <c r="F28" s="1095" t="str">
        <f>O28</f>
        <v>FRNYUS33</v>
      </c>
      <c r="J28" s="762"/>
      <c r="K28" s="462" t="s">
        <v>190</v>
      </c>
      <c r="L28" s="1095" t="str">
        <f>IF('PR_Bank Details_7C'!C28="","",'PR_Bank Details_7C'!C28)</f>
        <v/>
      </c>
      <c r="M28" s="762"/>
      <c r="N28" s="905" t="s">
        <v>622</v>
      </c>
      <c r="O28" s="1095" t="str">
        <f>IF('PR_Bank Details_7C'!F28="","",'PR_Bank Details_7C'!F28)</f>
        <v>FRNYUS33</v>
      </c>
    </row>
    <row r="29" spans="1:15" s="762" customFormat="1" ht="14.25">
      <c r="A29" s="761"/>
      <c r="B29" s="761"/>
      <c r="C29" s="1097"/>
      <c r="D29" s="761"/>
      <c r="E29" s="904"/>
      <c r="F29" s="1102"/>
      <c r="J29" s="761"/>
      <c r="K29" s="761"/>
      <c r="L29" s="1097"/>
      <c r="M29" s="761"/>
      <c r="N29" s="904"/>
      <c r="O29" s="1102"/>
    </row>
    <row r="30" spans="1:15" ht="27.75">
      <c r="A30" s="762"/>
      <c r="B30" s="462" t="s">
        <v>191</v>
      </c>
      <c r="C30" s="1105" t="str">
        <f>L30</f>
        <v/>
      </c>
      <c r="D30" s="762"/>
      <c r="E30" s="905" t="s">
        <v>145</v>
      </c>
      <c r="F30" s="1095" t="str">
        <f>O30</f>
        <v/>
      </c>
      <c r="J30" s="762"/>
      <c r="K30" s="462" t="s">
        <v>191</v>
      </c>
      <c r="L30" s="1095" t="str">
        <f>IF('PR_Bank Details_7C'!C30="","",'PR_Bank Details_7C'!C30)</f>
        <v/>
      </c>
      <c r="M30" s="762"/>
      <c r="N30" s="905" t="s">
        <v>145</v>
      </c>
      <c r="O30" s="1095" t="str">
        <f>IF('PR_Bank Details_7C'!F30="","",'PR_Bank Details_7C'!F30)</f>
        <v/>
      </c>
    </row>
    <row r="31" spans="1:15" s="762" customFormat="1" ht="14.25">
      <c r="A31" s="761"/>
      <c r="B31" s="761"/>
      <c r="C31" s="1097"/>
      <c r="D31" s="761"/>
      <c r="E31" s="904"/>
      <c r="F31" s="1103"/>
      <c r="J31" s="761"/>
      <c r="K31" s="761"/>
      <c r="L31" s="1097"/>
      <c r="M31" s="761"/>
      <c r="N31" s="904"/>
      <c r="O31" s="1103"/>
    </row>
    <row r="32" spans="1:15" s="762" customFormat="1" ht="25.5" customHeight="1">
      <c r="B32" s="907"/>
      <c r="C32" s="1098"/>
      <c r="E32" s="905" t="s">
        <v>146</v>
      </c>
      <c r="F32" s="1095" t="str">
        <f>O32</f>
        <v/>
      </c>
      <c r="K32" s="907"/>
      <c r="L32" s="1098"/>
      <c r="N32" s="905" t="s">
        <v>146</v>
      </c>
      <c r="O32" s="1095" t="str">
        <f>IF('PR_Bank Details_7C'!F32="","",'PR_Bank Details_7C'!F32)</f>
        <v/>
      </c>
    </row>
    <row r="33" spans="1:15" s="762" customFormat="1" ht="5.25" customHeight="1">
      <c r="B33" s="561"/>
      <c r="C33" s="1099"/>
      <c r="F33" s="1101"/>
      <c r="G33" s="763"/>
      <c r="H33" s="763"/>
      <c r="I33" s="763"/>
      <c r="K33" s="561"/>
      <c r="L33" s="1099"/>
      <c r="O33" s="1101"/>
    </row>
    <row r="34" spans="1:15" ht="15">
      <c r="A34" s="762"/>
      <c r="B34" s="1006" t="s">
        <v>139</v>
      </c>
      <c r="C34" s="1100"/>
      <c r="D34" s="1006"/>
      <c r="E34" s="1006"/>
      <c r="F34" s="1100"/>
      <c r="J34" s="762"/>
      <c r="K34" s="1006" t="s">
        <v>139</v>
      </c>
      <c r="L34" s="1100"/>
      <c r="M34" s="1006"/>
      <c r="N34" s="1006"/>
      <c r="O34" s="1100"/>
    </row>
    <row r="35" spans="1:15" s="762" customFormat="1" ht="14.25">
      <c r="A35" s="761"/>
      <c r="B35" s="761"/>
      <c r="C35" s="1097"/>
      <c r="D35" s="761"/>
      <c r="E35" s="761"/>
      <c r="F35" s="1097"/>
      <c r="J35" s="761"/>
      <c r="K35" s="761"/>
      <c r="L35" s="1097"/>
      <c r="M35" s="761"/>
      <c r="N35" s="761"/>
      <c r="O35" s="1097"/>
    </row>
    <row r="36" spans="1:15" s="762" customFormat="1" ht="33" customHeight="1">
      <c r="B36" s="461" t="s">
        <v>142</v>
      </c>
      <c r="C36" s="1095" t="str">
        <f>L36</f>
        <v/>
      </c>
      <c r="E36" s="905" t="s">
        <v>621</v>
      </c>
      <c r="F36" s="1095" t="str">
        <f>O36</f>
        <v/>
      </c>
      <c r="K36" s="461" t="s">
        <v>142</v>
      </c>
      <c r="L36" s="1095" t="str">
        <f>IF('PR_Bank Details_7C'!C36="","",'PR_Bank Details_7C'!C36)</f>
        <v/>
      </c>
      <c r="N36" s="905" t="s">
        <v>621</v>
      </c>
      <c r="O36" s="1095" t="str">
        <f>IF('PR_Bank Details_7C'!F36="","",'PR_Bank Details_7C'!F36)</f>
        <v/>
      </c>
    </row>
    <row r="37" spans="1:15" s="762" customFormat="1" ht="14.25">
      <c r="C37" s="1096"/>
      <c r="E37" s="903"/>
      <c r="F37" s="1102"/>
      <c r="L37" s="1096"/>
      <c r="N37" s="903"/>
      <c r="O37" s="1102"/>
    </row>
    <row r="38" spans="1:15" s="762" customFormat="1" ht="27.75">
      <c r="B38" s="902" t="s">
        <v>192</v>
      </c>
      <c r="C38" s="1095" t="str">
        <f>L38</f>
        <v/>
      </c>
      <c r="E38" s="905" t="s">
        <v>621</v>
      </c>
      <c r="F38" s="1095" t="str">
        <f>O38</f>
        <v/>
      </c>
      <c r="K38" s="902" t="s">
        <v>192</v>
      </c>
      <c r="L38" s="1095" t="str">
        <f>IF('PR_Bank Details_7C'!C38="","",'PR_Bank Details_7C'!C38)</f>
        <v/>
      </c>
      <c r="N38" s="905" t="s">
        <v>621</v>
      </c>
      <c r="O38" s="1095" t="str">
        <f>IF('PR_Bank Details_7C'!F38="","",'PR_Bank Details_7C'!F38)</f>
        <v/>
      </c>
    </row>
    <row r="39" spans="1:15" s="762" customFormat="1" ht="14.25">
      <c r="C39" s="1096"/>
      <c r="E39" s="903"/>
      <c r="F39" s="1102"/>
      <c r="L39" s="1096"/>
      <c r="N39" s="903"/>
      <c r="O39" s="1102"/>
    </row>
    <row r="40" spans="1:15" s="762" customFormat="1" ht="30">
      <c r="B40" s="462" t="s">
        <v>189</v>
      </c>
      <c r="C40" s="1105" t="str">
        <f>L40</f>
        <v/>
      </c>
      <c r="D40" s="561"/>
      <c r="E40" s="905" t="s">
        <v>144</v>
      </c>
      <c r="F40" s="1095" t="str">
        <f>O40</f>
        <v/>
      </c>
      <c r="K40" s="462" t="s">
        <v>189</v>
      </c>
      <c r="L40" s="1095" t="str">
        <f>IF('PR_Bank Details_7C'!C40="","",'PR_Bank Details_7C'!C40)</f>
        <v/>
      </c>
      <c r="M40" s="561"/>
      <c r="N40" s="905" t="s">
        <v>144</v>
      </c>
      <c r="O40" s="1095" t="str">
        <f>IF('PR_Bank Details_7C'!F40="","",'PR_Bank Details_7C'!F40)</f>
        <v/>
      </c>
    </row>
    <row r="41" spans="1:15" s="762" customFormat="1" ht="14.25">
      <c r="C41" s="1096"/>
      <c r="E41" s="903"/>
      <c r="F41" s="1102"/>
      <c r="L41" s="1096"/>
      <c r="N41" s="903"/>
      <c r="O41" s="1102"/>
    </row>
    <row r="42" spans="1:15" s="762" customFormat="1" ht="15">
      <c r="B42" s="462" t="s">
        <v>143</v>
      </c>
      <c r="C42" s="1095" t="str">
        <f>L42</f>
        <v/>
      </c>
      <c r="E42" s="905" t="s">
        <v>193</v>
      </c>
      <c r="F42" s="1095" t="str">
        <f>O42</f>
        <v/>
      </c>
      <c r="K42" s="462" t="s">
        <v>143</v>
      </c>
      <c r="L42" s="1095" t="str">
        <f>IF('PR_Bank Details_7C'!C42="","",'PR_Bank Details_7C'!C42)</f>
        <v/>
      </c>
      <c r="N42" s="905" t="s">
        <v>193</v>
      </c>
      <c r="O42" s="1095" t="str">
        <f>IF('PR_Bank Details_7C'!F42="","",'PR_Bank Details_7C'!F42)</f>
        <v/>
      </c>
    </row>
    <row r="43" spans="1:15" s="762" customFormat="1" ht="14.25">
      <c r="C43" s="1096"/>
      <c r="E43" s="903"/>
      <c r="F43" s="1102"/>
      <c r="L43" s="1096"/>
      <c r="N43" s="903"/>
      <c r="O43" s="1102"/>
    </row>
    <row r="44" spans="1:15" ht="40.5">
      <c r="A44" s="762"/>
      <c r="B44" s="462" t="s">
        <v>190</v>
      </c>
      <c r="C44" s="1108" t="str">
        <f>L44</f>
        <v/>
      </c>
      <c r="D44" s="762"/>
      <c r="E44" s="905" t="s">
        <v>622</v>
      </c>
      <c r="F44" s="1095" t="str">
        <f>O44</f>
        <v/>
      </c>
      <c r="J44" s="762"/>
      <c r="K44" s="462" t="s">
        <v>190</v>
      </c>
      <c r="L44" s="1095" t="str">
        <f>IF('PR_Bank Details_7C'!C44="","",'PR_Bank Details_7C'!C44)</f>
        <v/>
      </c>
      <c r="M44" s="762"/>
      <c r="N44" s="905" t="s">
        <v>622</v>
      </c>
      <c r="O44" s="1095" t="str">
        <f>IF('PR_Bank Details_7C'!F44="","",'PR_Bank Details_7C'!F44)</f>
        <v/>
      </c>
    </row>
    <row r="45" spans="1:15" s="762" customFormat="1" ht="14.25">
      <c r="A45" s="761"/>
      <c r="B45" s="761"/>
      <c r="C45" s="1097"/>
      <c r="D45" s="761"/>
      <c r="E45" s="904"/>
      <c r="F45" s="1102"/>
      <c r="J45" s="761"/>
      <c r="K45" s="761"/>
      <c r="L45" s="1097"/>
      <c r="M45" s="761"/>
      <c r="N45" s="904"/>
      <c r="O45" s="1102"/>
    </row>
    <row r="46" spans="1:15" ht="27.75">
      <c r="A46" s="762"/>
      <c r="B46" s="462" t="s">
        <v>191</v>
      </c>
      <c r="C46" s="1105" t="str">
        <f>L46</f>
        <v/>
      </c>
      <c r="D46" s="762"/>
      <c r="E46" s="905" t="s">
        <v>145</v>
      </c>
      <c r="F46" s="1095" t="str">
        <f>O46</f>
        <v/>
      </c>
      <c r="J46" s="762"/>
      <c r="K46" s="462" t="s">
        <v>191</v>
      </c>
      <c r="L46" s="1095" t="str">
        <f>IF('PR_Bank Details_7C'!C46="","",'PR_Bank Details_7C'!C46)</f>
        <v/>
      </c>
      <c r="M46" s="762"/>
      <c r="N46" s="905" t="s">
        <v>145</v>
      </c>
      <c r="O46" s="1095" t="str">
        <f>IF('PR_Bank Details_7C'!F46="","",'PR_Bank Details_7C'!F46)</f>
        <v/>
      </c>
    </row>
    <row r="47" spans="1:15" s="762" customFormat="1" ht="14.25">
      <c r="A47" s="761"/>
      <c r="B47" s="761"/>
      <c r="C47" s="1097"/>
      <c r="D47" s="761"/>
      <c r="E47" s="904"/>
      <c r="F47" s="1103"/>
      <c r="J47" s="761"/>
      <c r="K47" s="761"/>
      <c r="L47" s="1097"/>
      <c r="M47" s="761"/>
      <c r="N47" s="904"/>
      <c r="O47" s="1103"/>
    </row>
    <row r="48" spans="1:15" s="762" customFormat="1" ht="25.5" customHeight="1">
      <c r="B48" s="907"/>
      <c r="C48" s="1098"/>
      <c r="E48" s="905" t="s">
        <v>146</v>
      </c>
      <c r="F48" s="1095" t="str">
        <f>O48</f>
        <v/>
      </c>
      <c r="K48" s="907"/>
      <c r="L48" s="1098"/>
      <c r="N48" s="905" t="s">
        <v>146</v>
      </c>
      <c r="O48" s="1095" t="str">
        <f>IF('PR_Bank Details_7C'!F48="","",'PR_Bank Details_7C'!F48)</f>
        <v/>
      </c>
    </row>
    <row r="49" spans="1:15" s="762" customFormat="1" ht="6.75" customHeight="1">
      <c r="B49" s="561"/>
      <c r="C49" s="1099"/>
      <c r="F49" s="1101"/>
      <c r="K49" s="561"/>
      <c r="L49" s="1099"/>
      <c r="O49" s="1101"/>
    </row>
    <row r="50" spans="1:15" s="762" customFormat="1" ht="8.25" customHeight="1">
      <c r="C50" s="1101"/>
      <c r="F50" s="1101"/>
      <c r="G50" s="763"/>
      <c r="H50" s="763"/>
      <c r="I50" s="763"/>
      <c r="L50" s="1101"/>
      <c r="O50" s="1101"/>
    </row>
    <row r="51" spans="1:15" ht="15">
      <c r="A51" s="762"/>
      <c r="B51" s="1006" t="s">
        <v>140</v>
      </c>
      <c r="C51" s="1100"/>
      <c r="D51" s="1006"/>
      <c r="E51" s="1006"/>
      <c r="F51" s="1100"/>
      <c r="J51" s="762"/>
      <c r="K51" s="1006" t="s">
        <v>140</v>
      </c>
      <c r="L51" s="1100"/>
      <c r="M51" s="1006"/>
      <c r="N51" s="1006"/>
      <c r="O51" s="1100"/>
    </row>
    <row r="52" spans="1:15" s="762" customFormat="1" ht="14.25">
      <c r="A52" s="761"/>
      <c r="B52" s="761"/>
      <c r="C52" s="1097"/>
      <c r="D52" s="761"/>
      <c r="E52" s="761"/>
      <c r="F52" s="1097"/>
      <c r="J52" s="761"/>
      <c r="K52" s="761"/>
      <c r="L52" s="1097"/>
      <c r="M52" s="761"/>
      <c r="N52" s="761"/>
      <c r="O52" s="1097"/>
    </row>
    <row r="53" spans="1:15" s="762" customFormat="1" ht="33" customHeight="1">
      <c r="B53" s="461" t="s">
        <v>142</v>
      </c>
      <c r="C53" s="1095" t="str">
        <f>L53</f>
        <v/>
      </c>
      <c r="E53" s="905" t="s">
        <v>621</v>
      </c>
      <c r="F53" s="1095" t="str">
        <f>O53</f>
        <v/>
      </c>
      <c r="K53" s="461" t="s">
        <v>142</v>
      </c>
      <c r="L53" s="1095" t="str">
        <f>IF('PR_Bank Details_7C'!C53="","",'PR_Bank Details_7C'!C53)</f>
        <v/>
      </c>
      <c r="N53" s="905" t="s">
        <v>621</v>
      </c>
      <c r="O53" s="1095" t="str">
        <f>IF('PR_Bank Details_7C'!F53="","",'PR_Bank Details_7C'!F53)</f>
        <v/>
      </c>
    </row>
    <row r="54" spans="1:15" s="762" customFormat="1" ht="14.25">
      <c r="C54" s="1096"/>
      <c r="E54" s="903"/>
      <c r="F54" s="1102"/>
      <c r="L54" s="1096"/>
      <c r="N54" s="903"/>
      <c r="O54" s="1102"/>
    </row>
    <row r="55" spans="1:15" s="762" customFormat="1" ht="27.75">
      <c r="B55" s="902" t="s">
        <v>192</v>
      </c>
      <c r="C55" s="1095" t="str">
        <f>L55</f>
        <v/>
      </c>
      <c r="E55" s="905" t="s">
        <v>621</v>
      </c>
      <c r="F55" s="1095" t="str">
        <f>O55</f>
        <v/>
      </c>
      <c r="K55" s="902" t="s">
        <v>192</v>
      </c>
      <c r="L55" s="1095" t="str">
        <f>IF('PR_Bank Details_7C'!C55="","",'PR_Bank Details_7C'!C55)</f>
        <v/>
      </c>
      <c r="N55" s="905" t="s">
        <v>621</v>
      </c>
      <c r="O55" s="1095" t="str">
        <f>IF('PR_Bank Details_7C'!F55="","",'PR_Bank Details_7C'!F55)</f>
        <v/>
      </c>
    </row>
    <row r="56" spans="1:15" s="762" customFormat="1" ht="14.25">
      <c r="C56" s="1096"/>
      <c r="E56" s="903"/>
      <c r="F56" s="1102"/>
      <c r="L56" s="1096"/>
      <c r="N56" s="903"/>
      <c r="O56" s="1102"/>
    </row>
    <row r="57" spans="1:15" s="762" customFormat="1" ht="30">
      <c r="B57" s="462" t="s">
        <v>189</v>
      </c>
      <c r="C57" s="1104" t="str">
        <f>L57</f>
        <v/>
      </c>
      <c r="D57" s="561"/>
      <c r="E57" s="905" t="s">
        <v>144</v>
      </c>
      <c r="F57" s="1095" t="str">
        <f>O57</f>
        <v/>
      </c>
      <c r="K57" s="462" t="s">
        <v>189</v>
      </c>
      <c r="L57" s="1095" t="str">
        <f>IF('PR_Bank Details_7C'!C57="","",'PR_Bank Details_7C'!C57)</f>
        <v/>
      </c>
      <c r="M57" s="561"/>
      <c r="N57" s="905" t="s">
        <v>144</v>
      </c>
      <c r="O57" s="1095" t="str">
        <f>IF('PR_Bank Details_7C'!F57="","",'PR_Bank Details_7C'!F57)</f>
        <v/>
      </c>
    </row>
    <row r="58" spans="1:15" s="762" customFormat="1" ht="14.25">
      <c r="C58" s="1096"/>
      <c r="E58" s="903"/>
      <c r="F58" s="1102"/>
      <c r="L58" s="1096"/>
      <c r="N58" s="903"/>
      <c r="O58" s="1102"/>
    </row>
    <row r="59" spans="1:15" s="762" customFormat="1" ht="15">
      <c r="B59" s="462" t="s">
        <v>143</v>
      </c>
      <c r="C59" s="1095" t="str">
        <f>L59</f>
        <v/>
      </c>
      <c r="E59" s="905" t="s">
        <v>193</v>
      </c>
      <c r="F59" s="1095" t="str">
        <f>O59</f>
        <v/>
      </c>
      <c r="K59" s="462" t="s">
        <v>143</v>
      </c>
      <c r="L59" s="1095" t="str">
        <f>IF('PR_Bank Details_7C'!C59="","",'PR_Bank Details_7C'!C59)</f>
        <v/>
      </c>
      <c r="N59" s="905" t="s">
        <v>193</v>
      </c>
      <c r="O59" s="1095" t="str">
        <f>IF('PR_Bank Details_7C'!F59="","",'PR_Bank Details_7C'!F59)</f>
        <v/>
      </c>
    </row>
    <row r="60" spans="1:15" s="762" customFormat="1" ht="14.25">
      <c r="C60" s="1096"/>
      <c r="E60" s="903"/>
      <c r="F60" s="1102"/>
      <c r="L60" s="1096"/>
      <c r="N60" s="903"/>
      <c r="O60" s="1102"/>
    </row>
    <row r="61" spans="1:15" ht="40.5">
      <c r="A61" s="762"/>
      <c r="B61" s="462" t="s">
        <v>190</v>
      </c>
      <c r="C61" s="1104" t="str">
        <f>L61</f>
        <v/>
      </c>
      <c r="D61" s="762"/>
      <c r="E61" s="905" t="s">
        <v>622</v>
      </c>
      <c r="F61" s="1095" t="str">
        <f>O61</f>
        <v/>
      </c>
      <c r="J61" s="762"/>
      <c r="K61" s="462" t="s">
        <v>190</v>
      </c>
      <c r="L61" s="1095" t="str">
        <f>IF('PR_Bank Details_7C'!C61="","",'PR_Bank Details_7C'!C61)</f>
        <v/>
      </c>
      <c r="M61" s="762"/>
      <c r="N61" s="905" t="s">
        <v>622</v>
      </c>
      <c r="O61" s="1095" t="str">
        <f>IF('PR_Bank Details_7C'!F61="","",'PR_Bank Details_7C'!F61)</f>
        <v/>
      </c>
    </row>
    <row r="62" spans="1:15" s="762" customFormat="1" ht="14.25">
      <c r="A62" s="761"/>
      <c r="B62" s="761"/>
      <c r="C62" s="1097"/>
      <c r="D62" s="761"/>
      <c r="E62" s="904"/>
      <c r="F62" s="1102"/>
      <c r="J62" s="761"/>
      <c r="K62" s="761"/>
      <c r="L62" s="1097"/>
      <c r="M62" s="761"/>
      <c r="N62" s="904"/>
      <c r="O62" s="1102"/>
    </row>
    <row r="63" spans="1:15" ht="27.75">
      <c r="A63" s="762"/>
      <c r="B63" s="462" t="s">
        <v>191</v>
      </c>
      <c r="C63" s="1104" t="str">
        <f>L63</f>
        <v/>
      </c>
      <c r="D63" s="762"/>
      <c r="E63" s="905" t="s">
        <v>145</v>
      </c>
      <c r="F63" s="1095" t="str">
        <f>O63</f>
        <v/>
      </c>
      <c r="J63" s="762"/>
      <c r="K63" s="462" t="s">
        <v>191</v>
      </c>
      <c r="L63" s="1095" t="str">
        <f>IF('PR_Bank Details_7C'!C63="","",'PR_Bank Details_7C'!C63)</f>
        <v/>
      </c>
      <c r="M63" s="762"/>
      <c r="N63" s="905" t="s">
        <v>145</v>
      </c>
      <c r="O63" s="1095" t="str">
        <f>IF('PR_Bank Details_7C'!F63="","",'PR_Bank Details_7C'!F63)</f>
        <v/>
      </c>
    </row>
    <row r="64" spans="1:15" s="762" customFormat="1" ht="14.25">
      <c r="A64" s="761"/>
      <c r="B64" s="761"/>
      <c r="C64" s="1097"/>
      <c r="D64" s="761"/>
      <c r="E64" s="904"/>
      <c r="F64" s="1103"/>
      <c r="J64" s="761"/>
      <c r="K64" s="761"/>
      <c r="L64" s="1097"/>
      <c r="M64" s="761"/>
      <c r="N64" s="904"/>
      <c r="O64" s="1103"/>
    </row>
    <row r="65" spans="1:15" s="762" customFormat="1" ht="25.5" customHeight="1">
      <c r="B65" s="907"/>
      <c r="C65" s="1098"/>
      <c r="E65" s="905" t="s">
        <v>146</v>
      </c>
      <c r="F65" s="1095" t="str">
        <f>O65</f>
        <v/>
      </c>
      <c r="K65" s="907"/>
      <c r="L65" s="1098"/>
      <c r="N65" s="905" t="s">
        <v>146</v>
      </c>
      <c r="O65" s="1095" t="str">
        <f>IF('PR_Bank Details_7C'!F65="","",'PR_Bank Details_7C'!F65)</f>
        <v/>
      </c>
    </row>
    <row r="66" spans="1:15" s="762" customFormat="1" ht="6.75" customHeight="1">
      <c r="B66" s="561"/>
      <c r="C66" s="1099"/>
      <c r="F66" s="1101"/>
      <c r="G66" s="763"/>
      <c r="H66" s="763"/>
      <c r="I66" s="763"/>
      <c r="K66" s="561"/>
      <c r="L66" s="1099"/>
      <c r="O66" s="1101"/>
    </row>
    <row r="67" spans="1:15" ht="15">
      <c r="A67" s="762"/>
      <c r="B67" s="1006" t="s">
        <v>141</v>
      </c>
      <c r="C67" s="1100"/>
      <c r="D67" s="1006"/>
      <c r="E67" s="1006"/>
      <c r="F67" s="1100"/>
      <c r="J67" s="762"/>
      <c r="K67" s="1006" t="s">
        <v>141</v>
      </c>
      <c r="L67" s="1100"/>
      <c r="M67" s="1006"/>
      <c r="N67" s="1006"/>
      <c r="O67" s="1100"/>
    </row>
    <row r="68" spans="1:15" s="762" customFormat="1" ht="14.25">
      <c r="A68" s="761"/>
      <c r="B68" s="761"/>
      <c r="C68" s="1097"/>
      <c r="D68" s="761"/>
      <c r="E68" s="761"/>
      <c r="F68" s="1097"/>
      <c r="J68" s="761"/>
      <c r="K68" s="761"/>
      <c r="L68" s="1097"/>
      <c r="M68" s="761"/>
      <c r="N68" s="761"/>
      <c r="O68" s="1097"/>
    </row>
    <row r="69" spans="1:15" s="762" customFormat="1" ht="33" customHeight="1">
      <c r="B69" s="461" t="s">
        <v>142</v>
      </c>
      <c r="C69" s="1095" t="str">
        <f>L69</f>
        <v/>
      </c>
      <c r="E69" s="905" t="s">
        <v>621</v>
      </c>
      <c r="F69" s="1095" t="str">
        <f>O69</f>
        <v/>
      </c>
      <c r="K69" s="461" t="s">
        <v>142</v>
      </c>
      <c r="L69" s="1095" t="str">
        <f>IF('PR_Bank Details_7C'!C69="","",'PR_Bank Details_7C'!C69)</f>
        <v/>
      </c>
      <c r="N69" s="905" t="s">
        <v>621</v>
      </c>
      <c r="O69" s="1095" t="str">
        <f>IF('PR_Bank Details_7C'!F69="","",'PR_Bank Details_7C'!F69)</f>
        <v/>
      </c>
    </row>
    <row r="70" spans="1:15" s="762" customFormat="1" ht="14.25">
      <c r="C70" s="1096"/>
      <c r="E70" s="903"/>
      <c r="F70" s="1102"/>
      <c r="L70" s="1096"/>
      <c r="N70" s="903"/>
      <c r="O70" s="1102"/>
    </row>
    <row r="71" spans="1:15" s="762" customFormat="1" ht="27.75">
      <c r="B71" s="902" t="s">
        <v>192</v>
      </c>
      <c r="C71" s="1095" t="str">
        <f>L71</f>
        <v/>
      </c>
      <c r="E71" s="905" t="s">
        <v>621</v>
      </c>
      <c r="F71" s="1095" t="str">
        <f>O71</f>
        <v/>
      </c>
      <c r="K71" s="902" t="s">
        <v>192</v>
      </c>
      <c r="L71" s="1095" t="str">
        <f>IF('PR_Bank Details_7C'!C71="","",'PR_Bank Details_7C'!C71)</f>
        <v/>
      </c>
      <c r="N71" s="905" t="s">
        <v>621</v>
      </c>
      <c r="O71" s="1095" t="str">
        <f>IF('PR_Bank Details_7C'!F71="","",'PR_Bank Details_7C'!F71)</f>
        <v/>
      </c>
    </row>
    <row r="72" spans="1:15" s="762" customFormat="1" ht="14.25">
      <c r="C72" s="1096"/>
      <c r="E72" s="903"/>
      <c r="F72" s="1102"/>
      <c r="L72" s="1096"/>
      <c r="N72" s="903"/>
      <c r="O72" s="1102"/>
    </row>
    <row r="73" spans="1:15" s="762" customFormat="1" ht="30">
      <c r="B73" s="462" t="s">
        <v>189</v>
      </c>
      <c r="C73" s="1106" t="str">
        <f>L73</f>
        <v/>
      </c>
      <c r="D73" s="561"/>
      <c r="E73" s="905" t="s">
        <v>144</v>
      </c>
      <c r="F73" s="1095" t="str">
        <f>O73</f>
        <v/>
      </c>
      <c r="K73" s="462" t="s">
        <v>189</v>
      </c>
      <c r="L73" s="1095" t="str">
        <f>IF('PR_Bank Details_7C'!C73="","",'PR_Bank Details_7C'!C73)</f>
        <v/>
      </c>
      <c r="M73" s="561"/>
      <c r="N73" s="905" t="s">
        <v>144</v>
      </c>
      <c r="O73" s="1095" t="str">
        <f>IF('PR_Bank Details_7C'!F73="","",'PR_Bank Details_7C'!F73)</f>
        <v/>
      </c>
    </row>
    <row r="74" spans="1:15" s="762" customFormat="1" ht="14.25">
      <c r="C74" s="1096"/>
      <c r="E74" s="903"/>
      <c r="F74" s="1102"/>
      <c r="L74" s="1096"/>
      <c r="N74" s="903"/>
      <c r="O74" s="1102"/>
    </row>
    <row r="75" spans="1:15" s="762" customFormat="1" ht="15">
      <c r="B75" s="462" t="s">
        <v>143</v>
      </c>
      <c r="C75" s="1095" t="str">
        <f>L75</f>
        <v/>
      </c>
      <c r="E75" s="905" t="s">
        <v>193</v>
      </c>
      <c r="F75" s="1095" t="str">
        <f>O75</f>
        <v/>
      </c>
      <c r="K75" s="462" t="s">
        <v>143</v>
      </c>
      <c r="L75" s="1095" t="str">
        <f>IF('PR_Bank Details_7C'!C75="","",'PR_Bank Details_7C'!C75)</f>
        <v/>
      </c>
      <c r="N75" s="905" t="s">
        <v>193</v>
      </c>
      <c r="O75" s="1095" t="str">
        <f>IF('PR_Bank Details_7C'!F75="","",'PR_Bank Details_7C'!F75)</f>
        <v/>
      </c>
    </row>
    <row r="76" spans="1:15" s="762" customFormat="1" ht="14.25">
      <c r="C76" s="1096"/>
      <c r="E76" s="903"/>
      <c r="F76" s="1102"/>
      <c r="L76" s="1096"/>
      <c r="N76" s="903"/>
      <c r="O76" s="1102"/>
    </row>
    <row r="77" spans="1:15" ht="40.5">
      <c r="A77" s="762"/>
      <c r="B77" s="462" t="s">
        <v>190</v>
      </c>
      <c r="C77" s="1107" t="str">
        <f>L77</f>
        <v/>
      </c>
      <c r="D77" s="762"/>
      <c r="E77" s="905" t="s">
        <v>622</v>
      </c>
      <c r="F77" s="1095" t="str">
        <f>O77</f>
        <v/>
      </c>
      <c r="J77" s="762"/>
      <c r="K77" s="462" t="s">
        <v>190</v>
      </c>
      <c r="L77" s="1095" t="str">
        <f>IF('PR_Bank Details_7C'!C77="","",'PR_Bank Details_7C'!C77)</f>
        <v/>
      </c>
      <c r="M77" s="762"/>
      <c r="N77" s="905" t="s">
        <v>622</v>
      </c>
      <c r="O77" s="1095" t="str">
        <f>IF('PR_Bank Details_7C'!F77="","",'PR_Bank Details_7C'!F77)</f>
        <v/>
      </c>
    </row>
    <row r="78" spans="1:15" s="762" customFormat="1" ht="14.25">
      <c r="A78" s="761"/>
      <c r="B78" s="761"/>
      <c r="C78" s="1097"/>
      <c r="D78" s="761"/>
      <c r="E78" s="904"/>
      <c r="F78" s="1102"/>
      <c r="J78" s="761"/>
      <c r="K78" s="761"/>
      <c r="L78" s="1097"/>
      <c r="M78" s="761"/>
      <c r="N78" s="904"/>
      <c r="O78" s="1102"/>
    </row>
    <row r="79" spans="1:15" ht="27.75">
      <c r="A79" s="762"/>
      <c r="B79" s="462" t="s">
        <v>191</v>
      </c>
      <c r="C79" s="1106" t="str">
        <f>L79</f>
        <v/>
      </c>
      <c r="D79" s="762"/>
      <c r="E79" s="905" t="s">
        <v>145</v>
      </c>
      <c r="F79" s="1095" t="str">
        <f>O79</f>
        <v/>
      </c>
      <c r="J79" s="762"/>
      <c r="K79" s="462" t="s">
        <v>191</v>
      </c>
      <c r="L79" s="1095" t="str">
        <f>IF('PR_Bank Details_7C'!C79="","",'PR_Bank Details_7C'!C79)</f>
        <v/>
      </c>
      <c r="M79" s="762"/>
      <c r="N79" s="905" t="s">
        <v>145</v>
      </c>
      <c r="O79" s="1095" t="str">
        <f>IF('PR_Bank Details_7C'!F79="","",'PR_Bank Details_7C'!F79)</f>
        <v/>
      </c>
    </row>
    <row r="80" spans="1:15" s="762" customFormat="1" ht="14.25">
      <c r="A80" s="761"/>
      <c r="B80" s="761"/>
      <c r="C80" s="761"/>
      <c r="D80" s="761"/>
      <c r="E80" s="904"/>
      <c r="F80" s="1103"/>
      <c r="J80" s="761"/>
      <c r="K80" s="761"/>
      <c r="L80" s="761"/>
      <c r="M80" s="761"/>
      <c r="N80" s="904"/>
      <c r="O80" s="1103"/>
    </row>
    <row r="81" spans="1:15" s="762" customFormat="1" ht="25.5" customHeight="1">
      <c r="B81" s="907"/>
      <c r="C81" s="908"/>
      <c r="E81" s="905" t="s">
        <v>146</v>
      </c>
      <c r="F81" s="1095" t="str">
        <f>O81</f>
        <v/>
      </c>
      <c r="K81" s="907"/>
      <c r="L81" s="908"/>
      <c r="N81" s="905" t="s">
        <v>146</v>
      </c>
      <c r="O81" s="1095" t="str">
        <f>IF('PR_Bank Details_7C'!F81="","",'PR_Bank Details_7C'!F81)</f>
        <v/>
      </c>
    </row>
    <row r="82" spans="1:15" ht="4.5" customHeight="1">
      <c r="A82" s="762"/>
      <c r="B82" s="561"/>
      <c r="C82" s="561"/>
      <c r="D82" s="762"/>
      <c r="E82" s="762"/>
      <c r="F82" s="762"/>
    </row>
  </sheetData>
  <sheetProtection password="92D1" sheet="1"/>
  <mergeCells count="4">
    <mergeCell ref="B3:E3"/>
    <mergeCell ref="A1:C1"/>
    <mergeCell ref="E16:F16"/>
    <mergeCell ref="N16:O16"/>
  </mergeCells>
  <phoneticPr fontId="0" type="noConversion"/>
  <conditionalFormatting sqref="E16">
    <cfRule type="cellIs" dxfId="3" priority="9" operator="equal">
      <formula>""</formula>
    </cfRule>
  </conditionalFormatting>
  <conditionalFormatting sqref="N16">
    <cfRule type="cellIs" dxfId="2" priority="2" operator="equal">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dxfId="1" priority="1" operator="notEqual">
      <formula>L12</formula>
    </cfRule>
  </conditionalFormatting>
  <pageMargins left="0.70866141732283472" right="0.70866141732283472" top="0.74803149606299213" bottom="0.74803149606299213" header="0.31496062992125984" footer="0.31496062992125984"/>
  <pageSetup paperSize="9" scale="48" fitToHeight="0" orientation="portrait" r:id="rId1"/>
  <rowBreaks count="1" manualBreakCount="1">
    <brk id="49" max="5" man="1"/>
  </rowBreaks>
</worksheet>
</file>

<file path=xl/worksheets/sheet3.xml><?xml version="1.0" encoding="utf-8"?>
<worksheet xmlns="http://schemas.openxmlformats.org/spreadsheetml/2006/main" xmlns:r="http://schemas.openxmlformats.org/officeDocument/2006/relationships">
  <sheetPr enableFormatConditionsCalculation="0">
    <tabColor indexed="11"/>
    <pageSetUpPr fitToPage="1"/>
  </sheetPr>
  <dimension ref="A1:Q45"/>
  <sheetViews>
    <sheetView showGridLines="0" view="pageBreakPreview" topLeftCell="D17" zoomScale="70" zoomScaleNormal="25" zoomScaleSheetLayoutView="70" workbookViewId="0">
      <selection activeCell="A42" sqref="A42:P42"/>
    </sheetView>
  </sheetViews>
  <sheetFormatPr defaultRowHeight="12.75" outlineLevelRow="1"/>
  <cols>
    <col min="1" max="1" width="13.28515625" style="63" customWidth="1"/>
    <col min="2" max="2" width="8.85546875" style="63" customWidth="1"/>
    <col min="3" max="3" width="28.7109375" style="63" customWidth="1"/>
    <col min="4" max="4" width="19.85546875" style="63" customWidth="1"/>
    <col min="5" max="5" width="16" style="63" customWidth="1"/>
    <col min="6" max="6" width="10.28515625" style="63" customWidth="1"/>
    <col min="7" max="7" width="15.28515625" style="63" customWidth="1"/>
    <col min="8" max="8" width="14.85546875" style="63" customWidth="1"/>
    <col min="9" max="9" width="13.85546875" style="63" customWidth="1"/>
    <col min="10" max="10" width="12.5703125" style="63" customWidth="1"/>
    <col min="11" max="11" width="11.28515625" style="63" customWidth="1"/>
    <col min="12" max="12" width="15.7109375" style="63" customWidth="1"/>
    <col min="13" max="13" width="16" style="63" customWidth="1"/>
    <col min="14" max="14" width="18.42578125" style="63" customWidth="1"/>
    <col min="15" max="15" width="16" style="63" customWidth="1"/>
    <col min="16" max="16" width="56.5703125" style="63" customWidth="1"/>
    <col min="17" max="17" width="8.42578125" style="63" customWidth="1"/>
    <col min="18" max="16384" width="9.140625" style="63"/>
  </cols>
  <sheetData>
    <row r="1" spans="1:17" ht="25.5" customHeight="1">
      <c r="A1" s="1786" t="s">
        <v>413</v>
      </c>
      <c r="B1" s="1786"/>
      <c r="C1" s="1786"/>
      <c r="D1" s="1786"/>
      <c r="E1" s="1786"/>
      <c r="F1" s="1786"/>
      <c r="G1" s="1786"/>
      <c r="H1" s="491"/>
      <c r="I1" s="491"/>
      <c r="J1" s="35"/>
      <c r="K1" s="35"/>
      <c r="L1" s="12"/>
      <c r="M1" s="12"/>
      <c r="N1" s="12"/>
      <c r="O1" s="12"/>
      <c r="P1" s="12"/>
      <c r="Q1" s="13"/>
    </row>
    <row r="2" spans="1:17" ht="18.75" customHeight="1" thickBot="1">
      <c r="A2" s="98" t="s">
        <v>507</v>
      </c>
      <c r="B2" s="98"/>
      <c r="C2" s="10"/>
      <c r="D2" s="10"/>
      <c r="E2" s="36"/>
      <c r="F2" s="10"/>
      <c r="G2" s="10"/>
      <c r="H2" s="10"/>
      <c r="I2" s="10"/>
      <c r="J2" s="10"/>
      <c r="K2" s="12"/>
      <c r="L2" s="12"/>
      <c r="M2" s="12"/>
      <c r="N2" s="12"/>
      <c r="O2" s="12"/>
      <c r="P2" s="13"/>
      <c r="Q2" s="13"/>
    </row>
    <row r="3" spans="1:17" s="73" customFormat="1" ht="25.5" customHeight="1" thickBot="1">
      <c r="A3" s="1787" t="s">
        <v>422</v>
      </c>
      <c r="B3" s="1815"/>
      <c r="C3" s="1788"/>
      <c r="D3" s="1817" t="str">
        <f>IF('PR_Programmatic Progress_1A'!C7="","",'PR_Programmatic Progress_1A'!C7)</f>
        <v>BTN-607-G03-H</v>
      </c>
      <c r="E3" s="1818"/>
      <c r="F3" s="1818"/>
      <c r="G3" s="1819"/>
      <c r="H3" s="4"/>
      <c r="I3" s="170"/>
      <c r="J3" s="4"/>
      <c r="K3" s="4"/>
      <c r="L3" s="4"/>
      <c r="M3" s="4"/>
      <c r="N3" s="4"/>
      <c r="O3" s="4"/>
      <c r="P3" s="4"/>
      <c r="Q3" s="4"/>
    </row>
    <row r="4" spans="1:17" s="73" customFormat="1" ht="15" customHeight="1">
      <c r="A4" s="492" t="s">
        <v>624</v>
      </c>
      <c r="B4" s="512"/>
      <c r="C4" s="512"/>
      <c r="D4" s="53" t="s">
        <v>630</v>
      </c>
      <c r="E4" s="504" t="str">
        <f>IF('PR_Programmatic Progress_1A'!D12="Select","",'PR_Programmatic Progress_1A'!D12)</f>
        <v>Quarter</v>
      </c>
      <c r="F4" s="5" t="s">
        <v>631</v>
      </c>
      <c r="G4" s="47">
        <f>IF('PR_Programmatic Progress_1A'!F12="Select","",'PR_Programmatic Progress_1A'!F12)</f>
        <v>16</v>
      </c>
      <c r="H4" s="4"/>
      <c r="I4" s="4"/>
      <c r="J4" s="4"/>
      <c r="K4" s="4"/>
      <c r="L4" s="4"/>
      <c r="M4" s="4"/>
      <c r="N4" s="4"/>
      <c r="O4" s="4"/>
      <c r="P4" s="4"/>
      <c r="Q4" s="4"/>
    </row>
    <row r="5" spans="1:17" s="73" customFormat="1" ht="15" customHeight="1">
      <c r="A5" s="513" t="s">
        <v>625</v>
      </c>
      <c r="B5" s="40"/>
      <c r="C5" s="40"/>
      <c r="D5" s="54" t="s">
        <v>593</v>
      </c>
      <c r="E5" s="519">
        <f>IF('PR_Programmatic Progress_1A'!D13="","",'PR_Programmatic Progress_1A'!D13)</f>
        <v>40848</v>
      </c>
      <c r="F5" s="5" t="s">
        <v>611</v>
      </c>
      <c r="G5" s="520">
        <f>IF('PR_Programmatic Progress_1A'!F13="","",'PR_Programmatic Progress_1A'!F13)</f>
        <v>40939</v>
      </c>
      <c r="H5" s="4"/>
      <c r="I5" s="4"/>
      <c r="J5" s="4"/>
      <c r="K5" s="4"/>
      <c r="L5" s="4"/>
      <c r="M5" s="4"/>
      <c r="N5" s="4"/>
      <c r="O5" s="4"/>
      <c r="P5" s="4"/>
      <c r="Q5" s="4"/>
    </row>
    <row r="6" spans="1:17" s="73" customFormat="1" ht="15" customHeight="1" thickBot="1">
      <c r="A6" s="55" t="s">
        <v>626</v>
      </c>
      <c r="B6" s="167"/>
      <c r="C6" s="41"/>
      <c r="D6" s="1830">
        <f>IF('PR_Programmatic Progress_1A'!C14="Select","",'PR_Programmatic Progress_1A'!C14)</f>
        <v>16</v>
      </c>
      <c r="E6" s="1831"/>
      <c r="F6" s="1831"/>
      <c r="G6" s="1832"/>
      <c r="H6" s="4"/>
      <c r="I6" s="4"/>
      <c r="J6" s="4"/>
      <c r="K6" s="4"/>
      <c r="L6" s="4"/>
      <c r="M6" s="4"/>
      <c r="N6" s="4"/>
      <c r="O6" s="4"/>
      <c r="P6" s="4"/>
      <c r="Q6" s="21"/>
    </row>
    <row r="7" spans="1:17" s="73" customFormat="1" ht="6" customHeight="1">
      <c r="A7" s="466"/>
      <c r="B7" s="466"/>
      <c r="C7" s="466"/>
      <c r="D7" s="82"/>
      <c r="E7" s="82"/>
      <c r="F7" s="82"/>
      <c r="G7" s="82"/>
      <c r="J7" s="4"/>
      <c r="K7" s="4"/>
      <c r="L7" s="4"/>
      <c r="M7" s="4"/>
      <c r="N7" s="4"/>
      <c r="O7" s="4"/>
      <c r="P7" s="4"/>
      <c r="Q7" s="21"/>
    </row>
    <row r="8" spans="1:17" s="14" customFormat="1" ht="22.5" customHeight="1" thickBot="1">
      <c r="A8" s="464" t="s">
        <v>249</v>
      </c>
      <c r="B8" s="33"/>
      <c r="C8" s="45"/>
      <c r="D8" s="45"/>
      <c r="E8" s="45"/>
      <c r="F8" s="45"/>
      <c r="G8" s="45"/>
      <c r="H8" s="45"/>
      <c r="I8" s="45"/>
      <c r="J8" s="45"/>
      <c r="K8" s="45"/>
      <c r="L8" s="45"/>
      <c r="M8" s="45"/>
      <c r="N8" s="45"/>
      <c r="O8" s="45"/>
      <c r="P8" s="45"/>
      <c r="Q8" s="337"/>
    </row>
    <row r="9" spans="1:17" s="67" customFormat="1" ht="20.25" customHeight="1">
      <c r="A9" s="1820" t="s">
        <v>241</v>
      </c>
      <c r="B9" s="1821"/>
      <c r="C9" s="1821"/>
      <c r="D9" s="1821"/>
      <c r="E9" s="1821"/>
      <c r="F9" s="1821"/>
      <c r="G9" s="1822"/>
      <c r="H9" s="1822"/>
      <c r="I9" s="1822"/>
      <c r="J9" s="1821"/>
      <c r="K9" s="1821"/>
      <c r="L9" s="1821"/>
      <c r="M9" s="1821"/>
      <c r="N9" s="1821"/>
      <c r="O9" s="1821"/>
      <c r="P9" s="1823"/>
      <c r="Q9" s="338"/>
    </row>
    <row r="10" spans="1:17" ht="31.5" customHeight="1">
      <c r="A10" s="1761" t="s">
        <v>153</v>
      </c>
      <c r="B10" s="1761" t="s">
        <v>323</v>
      </c>
      <c r="C10" s="1763" t="s">
        <v>596</v>
      </c>
      <c r="D10" s="1778"/>
      <c r="E10" s="1778"/>
      <c r="F10" s="1778"/>
      <c r="G10" s="1763" t="s">
        <v>164</v>
      </c>
      <c r="H10" s="1761" t="s">
        <v>242</v>
      </c>
      <c r="I10" s="1761" t="s">
        <v>350</v>
      </c>
      <c r="J10" s="1827" t="s">
        <v>133</v>
      </c>
      <c r="K10" s="1828"/>
      <c r="L10" s="1825" t="s">
        <v>157</v>
      </c>
      <c r="M10" s="1761" t="s">
        <v>158</v>
      </c>
      <c r="N10" s="1761" t="s">
        <v>425</v>
      </c>
      <c r="O10" s="1763" t="s">
        <v>377</v>
      </c>
      <c r="P10" s="1835"/>
      <c r="Q10" s="527"/>
    </row>
    <row r="11" spans="1:17" ht="58.5" customHeight="1">
      <c r="A11" s="1824"/>
      <c r="B11" s="1816"/>
      <c r="C11" s="1829"/>
      <c r="D11" s="1833"/>
      <c r="E11" s="1833"/>
      <c r="F11" s="1833"/>
      <c r="G11" s="1829"/>
      <c r="H11" s="1824"/>
      <c r="I11" s="1824"/>
      <c r="J11" s="57" t="s">
        <v>594</v>
      </c>
      <c r="K11" s="57" t="s">
        <v>595</v>
      </c>
      <c r="L11" s="1826"/>
      <c r="M11" s="1834"/>
      <c r="N11" s="1824"/>
      <c r="O11" s="1836"/>
      <c r="P11" s="1837"/>
      <c r="Q11" s="13"/>
    </row>
    <row r="12" spans="1:17" ht="81" customHeight="1">
      <c r="A12" s="1057">
        <v>1</v>
      </c>
      <c r="B12" s="1057">
        <v>1.1000000000000001</v>
      </c>
      <c r="C12" s="1800" t="s">
        <v>669</v>
      </c>
      <c r="D12" s="1801"/>
      <c r="E12" s="1801"/>
      <c r="F12" s="1801"/>
      <c r="G12" s="715" t="s">
        <v>670</v>
      </c>
      <c r="H12" s="1058" t="s">
        <v>681</v>
      </c>
      <c r="I12" s="715" t="s">
        <v>683</v>
      </c>
      <c r="J12" s="1388">
        <v>0</v>
      </c>
      <c r="K12" s="1387">
        <v>2006</v>
      </c>
      <c r="L12" s="1736">
        <v>80100</v>
      </c>
      <c r="M12" s="1388">
        <v>55829</v>
      </c>
      <c r="N12" s="1120">
        <f>M12/L12</f>
        <v>0.69699126092384522</v>
      </c>
      <c r="O12" s="1800" t="s">
        <v>1163</v>
      </c>
      <c r="P12" s="1802"/>
      <c r="Q12" s="185"/>
    </row>
    <row r="13" spans="1:17" ht="175.5" customHeight="1">
      <c r="A13" s="1057">
        <v>1</v>
      </c>
      <c r="B13" s="1057">
        <v>1.2</v>
      </c>
      <c r="C13" s="1800" t="s">
        <v>671</v>
      </c>
      <c r="D13" s="1801"/>
      <c r="E13" s="1801"/>
      <c r="F13" s="1801"/>
      <c r="G13" s="715" t="s">
        <v>670</v>
      </c>
      <c r="H13" s="1058" t="s">
        <v>681</v>
      </c>
      <c r="I13" s="715" t="s">
        <v>366</v>
      </c>
      <c r="J13" s="1388">
        <v>0</v>
      </c>
      <c r="K13" s="1387">
        <v>2006</v>
      </c>
      <c r="L13" s="1736">
        <v>729</v>
      </c>
      <c r="M13" s="1728">
        <v>578</v>
      </c>
      <c r="N13" s="1120">
        <f>M13/L13</f>
        <v>0.79286694101508914</v>
      </c>
      <c r="O13" s="1800" t="s">
        <v>1164</v>
      </c>
      <c r="P13" s="1802"/>
      <c r="Q13" s="185"/>
    </row>
    <row r="14" spans="1:17" ht="48" customHeight="1">
      <c r="A14" s="1057">
        <v>1</v>
      </c>
      <c r="B14" s="1057">
        <v>1.3</v>
      </c>
      <c r="C14" s="1800" t="s">
        <v>672</v>
      </c>
      <c r="D14" s="1801"/>
      <c r="E14" s="1801"/>
      <c r="F14" s="1801"/>
      <c r="G14" s="715" t="s">
        <v>713</v>
      </c>
      <c r="H14" s="1058" t="s">
        <v>682</v>
      </c>
      <c r="I14" s="715" t="s">
        <v>683</v>
      </c>
      <c r="J14" s="1388">
        <v>45</v>
      </c>
      <c r="K14" s="1387">
        <v>2009</v>
      </c>
      <c r="L14" s="1736" t="s">
        <v>667</v>
      </c>
      <c r="M14" s="1388">
        <v>0</v>
      </c>
      <c r="N14" s="1120"/>
      <c r="O14" s="1800" t="s">
        <v>371</v>
      </c>
      <c r="P14" s="1802"/>
      <c r="Q14" s="185"/>
    </row>
    <row r="15" spans="1:17" s="1735" customFormat="1" ht="139.5" customHeight="1">
      <c r="A15" s="1729">
        <v>1</v>
      </c>
      <c r="B15" s="1729">
        <v>1.4</v>
      </c>
      <c r="C15" s="1838" t="s">
        <v>673</v>
      </c>
      <c r="D15" s="1839"/>
      <c r="E15" s="1839"/>
      <c r="F15" s="1839"/>
      <c r="G15" s="1730" t="s">
        <v>670</v>
      </c>
      <c r="H15" s="1731" t="s">
        <v>681</v>
      </c>
      <c r="I15" s="1730" t="s">
        <v>683</v>
      </c>
      <c r="J15" s="1728" t="s">
        <v>667</v>
      </c>
      <c r="K15" s="1732">
        <v>2008</v>
      </c>
      <c r="L15" s="1736">
        <v>22850</v>
      </c>
      <c r="M15" s="1728">
        <v>23365</v>
      </c>
      <c r="N15" s="1733">
        <f t="shared" ref="N15:N22" si="0">M15/L15</f>
        <v>1.0225382932166303</v>
      </c>
      <c r="O15" s="1838" t="s">
        <v>1165</v>
      </c>
      <c r="P15" s="1840"/>
      <c r="Q15" s="1734"/>
    </row>
    <row r="16" spans="1:17" ht="90" customHeight="1">
      <c r="A16" s="1057">
        <v>1</v>
      </c>
      <c r="B16" s="1057">
        <v>1.5</v>
      </c>
      <c r="C16" s="1800" t="s">
        <v>674</v>
      </c>
      <c r="D16" s="1801"/>
      <c r="E16" s="1801"/>
      <c r="F16" s="1801"/>
      <c r="G16" s="715" t="s">
        <v>670</v>
      </c>
      <c r="H16" s="1058" t="s">
        <v>681</v>
      </c>
      <c r="I16" s="715" t="s">
        <v>683</v>
      </c>
      <c r="J16" s="1388">
        <v>0</v>
      </c>
      <c r="K16" s="1387">
        <v>2006</v>
      </c>
      <c r="L16" s="1736">
        <v>897</v>
      </c>
      <c r="M16" s="1388">
        <f>717+99</f>
        <v>816</v>
      </c>
      <c r="N16" s="1120">
        <f t="shared" si="0"/>
        <v>0.90969899665551834</v>
      </c>
      <c r="O16" s="1800" t="s">
        <v>1166</v>
      </c>
      <c r="P16" s="1802"/>
      <c r="Q16" s="185"/>
    </row>
    <row r="17" spans="1:17" ht="60.75" customHeight="1">
      <c r="A17" s="1057">
        <v>1</v>
      </c>
      <c r="B17" s="1057">
        <v>1.6</v>
      </c>
      <c r="C17" s="1800" t="s">
        <v>675</v>
      </c>
      <c r="D17" s="1801"/>
      <c r="E17" s="1801"/>
      <c r="F17" s="1801"/>
      <c r="G17" s="715" t="s">
        <v>679</v>
      </c>
      <c r="H17" s="1058" t="s">
        <v>681</v>
      </c>
      <c r="I17" s="715" t="s">
        <v>683</v>
      </c>
      <c r="J17" s="1388">
        <v>100</v>
      </c>
      <c r="K17" s="1387">
        <v>2009</v>
      </c>
      <c r="L17" s="1736">
        <v>1480</v>
      </c>
      <c r="M17" s="1388">
        <v>1542</v>
      </c>
      <c r="N17" s="1120">
        <f t="shared" si="0"/>
        <v>1.0418918918918918</v>
      </c>
      <c r="O17" s="1800" t="s">
        <v>1168</v>
      </c>
      <c r="P17" s="1802"/>
      <c r="Q17" s="185"/>
    </row>
    <row r="18" spans="1:17" ht="62.25" customHeight="1">
      <c r="A18" s="1057">
        <v>1</v>
      </c>
      <c r="B18" s="1057">
        <v>1.7</v>
      </c>
      <c r="C18" s="1800" t="s">
        <v>743</v>
      </c>
      <c r="D18" s="1801"/>
      <c r="E18" s="1801"/>
      <c r="F18" s="1801"/>
      <c r="G18" s="715" t="s">
        <v>679</v>
      </c>
      <c r="H18" s="1058" t="s">
        <v>681</v>
      </c>
      <c r="I18" s="715" t="s">
        <v>366</v>
      </c>
      <c r="J18" s="1388">
        <v>0</v>
      </c>
      <c r="K18" s="1387">
        <v>2006</v>
      </c>
      <c r="L18" s="1736">
        <v>300</v>
      </c>
      <c r="M18" s="1388">
        <v>163</v>
      </c>
      <c r="N18" s="1120">
        <f t="shared" si="0"/>
        <v>0.54333333333333333</v>
      </c>
      <c r="O18" s="1800" t="s">
        <v>1167</v>
      </c>
      <c r="P18" s="1802"/>
      <c r="Q18" s="185"/>
    </row>
    <row r="19" spans="1:17" ht="110.25" customHeight="1">
      <c r="A19" s="1057">
        <v>1</v>
      </c>
      <c r="B19" s="1057">
        <v>1.8</v>
      </c>
      <c r="C19" s="1800" t="s">
        <v>676</v>
      </c>
      <c r="D19" s="1801"/>
      <c r="E19" s="1801"/>
      <c r="F19" s="1801"/>
      <c r="G19" s="715" t="s">
        <v>679</v>
      </c>
      <c r="H19" s="1058" t="s">
        <v>681</v>
      </c>
      <c r="I19" s="715" t="s">
        <v>683</v>
      </c>
      <c r="J19" s="1388">
        <v>6000</v>
      </c>
      <c r="K19" s="1387">
        <v>2006</v>
      </c>
      <c r="L19" s="1736">
        <v>19000</v>
      </c>
      <c r="M19" s="1388">
        <v>17488</v>
      </c>
      <c r="N19" s="1120">
        <f t="shared" si="0"/>
        <v>0.92042105263157892</v>
      </c>
      <c r="O19" s="1800" t="s">
        <v>1169</v>
      </c>
      <c r="P19" s="1802"/>
      <c r="Q19" s="185"/>
    </row>
    <row r="20" spans="1:17" ht="82.5" customHeight="1">
      <c r="A20" s="1057">
        <v>1</v>
      </c>
      <c r="B20" s="1057">
        <v>1.9</v>
      </c>
      <c r="C20" s="1800" t="s">
        <v>677</v>
      </c>
      <c r="D20" s="1801"/>
      <c r="E20" s="1801"/>
      <c r="F20" s="1801"/>
      <c r="G20" s="715" t="s">
        <v>679</v>
      </c>
      <c r="H20" s="1058" t="s">
        <v>681</v>
      </c>
      <c r="I20" s="715" t="s">
        <v>683</v>
      </c>
      <c r="J20" s="1388">
        <v>500</v>
      </c>
      <c r="K20" s="1387">
        <v>2005</v>
      </c>
      <c r="L20" s="1736">
        <v>8000</v>
      </c>
      <c r="M20" s="1388">
        <v>6654</v>
      </c>
      <c r="N20" s="1120">
        <f t="shared" si="0"/>
        <v>0.83174999999999999</v>
      </c>
      <c r="O20" s="1800" t="s">
        <v>1170</v>
      </c>
      <c r="P20" s="1802"/>
      <c r="Q20" s="185"/>
    </row>
    <row r="21" spans="1:17" ht="57" customHeight="1">
      <c r="A21" s="1057">
        <v>2</v>
      </c>
      <c r="B21" s="1057">
        <v>2.2000000000000002</v>
      </c>
      <c r="C21" s="1800" t="s">
        <v>678</v>
      </c>
      <c r="D21" s="1801"/>
      <c r="E21" s="1801"/>
      <c r="F21" s="1801"/>
      <c r="G21" s="715" t="s">
        <v>679</v>
      </c>
      <c r="H21" s="1058" t="s">
        <v>681</v>
      </c>
      <c r="I21" s="715" t="s">
        <v>683</v>
      </c>
      <c r="J21" s="1388">
        <v>1500</v>
      </c>
      <c r="K21" s="1387">
        <v>2005</v>
      </c>
      <c r="L21" s="1736">
        <v>28800</v>
      </c>
      <c r="M21" s="1388">
        <v>42313</v>
      </c>
      <c r="N21" s="1120">
        <f t="shared" si="0"/>
        <v>1.4692013888888888</v>
      </c>
      <c r="O21" s="1800" t="s">
        <v>1171</v>
      </c>
      <c r="P21" s="1802"/>
      <c r="Q21" s="185"/>
    </row>
    <row r="22" spans="1:17" ht="60.75" customHeight="1">
      <c r="A22" s="1057">
        <v>2</v>
      </c>
      <c r="B22" s="1057">
        <v>2.2999999999999998</v>
      </c>
      <c r="C22" s="1800" t="s">
        <v>712</v>
      </c>
      <c r="D22" s="1801"/>
      <c r="E22" s="1801"/>
      <c r="F22" s="1801"/>
      <c r="G22" s="715" t="s">
        <v>679</v>
      </c>
      <c r="H22" s="1058" t="s">
        <v>682</v>
      </c>
      <c r="I22" s="715" t="s">
        <v>683</v>
      </c>
      <c r="J22" s="1389" t="s">
        <v>684</v>
      </c>
      <c r="K22" s="1387">
        <v>2006</v>
      </c>
      <c r="L22" s="1736">
        <v>90</v>
      </c>
      <c r="M22" s="1388">
        <v>70</v>
      </c>
      <c r="N22" s="1120">
        <f t="shared" si="0"/>
        <v>0.77777777777777779</v>
      </c>
      <c r="O22" s="1800" t="s">
        <v>1172</v>
      </c>
      <c r="P22" s="1802"/>
      <c r="Q22" s="185"/>
    </row>
    <row r="23" spans="1:17" ht="37.5" customHeight="1">
      <c r="A23" s="1057"/>
      <c r="B23" s="1057"/>
      <c r="C23" s="1803"/>
      <c r="D23" s="1804"/>
      <c r="E23" s="1804"/>
      <c r="F23" s="1805"/>
      <c r="G23" s="715" t="s">
        <v>610</v>
      </c>
      <c r="H23" s="1058" t="s">
        <v>610</v>
      </c>
      <c r="I23" s="715" t="s">
        <v>610</v>
      </c>
      <c r="J23" s="1118"/>
      <c r="K23" s="1141"/>
      <c r="L23" s="1118" t="s">
        <v>476</v>
      </c>
      <c r="M23" s="1119" t="s">
        <v>476</v>
      </c>
      <c r="N23" s="1120"/>
      <c r="O23" s="1800"/>
      <c r="P23" s="1802"/>
      <c r="Q23" s="185"/>
    </row>
    <row r="24" spans="1:17" ht="37.5" customHeight="1">
      <c r="A24" s="1057"/>
      <c r="B24" s="1057"/>
      <c r="C24" s="1803"/>
      <c r="D24" s="1804"/>
      <c r="E24" s="1804"/>
      <c r="F24" s="1805"/>
      <c r="G24" s="715" t="s">
        <v>610</v>
      </c>
      <c r="H24" s="1058" t="s">
        <v>610</v>
      </c>
      <c r="I24" s="715" t="s">
        <v>610</v>
      </c>
      <c r="J24" s="1118"/>
      <c r="K24" s="1141"/>
      <c r="L24" s="1118" t="s">
        <v>476</v>
      </c>
      <c r="M24" s="1119" t="s">
        <v>476</v>
      </c>
      <c r="N24" s="1120"/>
      <c r="O24" s="1800"/>
      <c r="P24" s="1802"/>
      <c r="Q24" s="185"/>
    </row>
    <row r="25" spans="1:17" ht="37.5" customHeight="1">
      <c r="A25" s="715"/>
      <c r="B25" s="1057"/>
      <c r="C25" s="1800"/>
      <c r="D25" s="1801"/>
      <c r="E25" s="1801"/>
      <c r="F25" s="1801"/>
      <c r="G25" s="715" t="s">
        <v>610</v>
      </c>
      <c r="H25" s="1058" t="s">
        <v>610</v>
      </c>
      <c r="I25" s="715" t="s">
        <v>610</v>
      </c>
      <c r="J25" s="1130"/>
      <c r="K25" s="1142"/>
      <c r="L25" s="1119" t="s">
        <v>476</v>
      </c>
      <c r="M25" s="1119" t="s">
        <v>476</v>
      </c>
      <c r="N25" s="1120"/>
      <c r="O25" s="1800"/>
      <c r="P25" s="1802"/>
      <c r="Q25" s="185"/>
    </row>
    <row r="26" spans="1:17" ht="37.5" customHeight="1">
      <c r="A26" s="715"/>
      <c r="B26" s="1057"/>
      <c r="C26" s="1800"/>
      <c r="D26" s="1801"/>
      <c r="E26" s="1801"/>
      <c r="F26" s="1801"/>
      <c r="G26" s="715" t="s">
        <v>610</v>
      </c>
      <c r="H26" s="1058" t="s">
        <v>610</v>
      </c>
      <c r="I26" s="715" t="s">
        <v>610</v>
      </c>
      <c r="J26" s="1130"/>
      <c r="K26" s="1142"/>
      <c r="L26" s="1119" t="s">
        <v>476</v>
      </c>
      <c r="M26" s="1119" t="s">
        <v>476</v>
      </c>
      <c r="N26" s="1120"/>
      <c r="O26" s="1800"/>
      <c r="P26" s="1802"/>
      <c r="Q26" s="185"/>
    </row>
    <row r="27" spans="1:17" ht="37.5" hidden="1" customHeight="1" outlineLevel="1">
      <c r="A27" s="715"/>
      <c r="B27" s="1057"/>
      <c r="C27" s="1800"/>
      <c r="D27" s="1801"/>
      <c r="E27" s="1801"/>
      <c r="F27" s="1801"/>
      <c r="G27" s="715" t="s">
        <v>610</v>
      </c>
      <c r="H27" s="1058" t="s">
        <v>610</v>
      </c>
      <c r="I27" s="715" t="s">
        <v>610</v>
      </c>
      <c r="J27" s="1130"/>
      <c r="K27" s="1142"/>
      <c r="L27" s="1119" t="s">
        <v>476</v>
      </c>
      <c r="M27" s="1119" t="s">
        <v>476</v>
      </c>
      <c r="N27" s="1120"/>
      <c r="O27" s="1800"/>
      <c r="P27" s="1802"/>
      <c r="Q27" s="185"/>
    </row>
    <row r="28" spans="1:17" ht="37.5" hidden="1" customHeight="1" outlineLevel="1">
      <c r="A28" s="715"/>
      <c r="B28" s="1057"/>
      <c r="C28" s="1800"/>
      <c r="D28" s="1801"/>
      <c r="E28" s="1801"/>
      <c r="F28" s="1801"/>
      <c r="G28" s="715" t="s">
        <v>610</v>
      </c>
      <c r="H28" s="1058" t="s">
        <v>610</v>
      </c>
      <c r="I28" s="715" t="s">
        <v>610</v>
      </c>
      <c r="J28" s="1130"/>
      <c r="K28" s="1142"/>
      <c r="L28" s="1119" t="s">
        <v>476</v>
      </c>
      <c r="M28" s="1119" t="s">
        <v>476</v>
      </c>
      <c r="N28" s="1120"/>
      <c r="O28" s="1800"/>
      <c r="P28" s="1802"/>
      <c r="Q28" s="185"/>
    </row>
    <row r="29" spans="1:17" ht="37.5" hidden="1" customHeight="1" outlineLevel="1">
      <c r="A29" s="715"/>
      <c r="B29" s="1057"/>
      <c r="C29" s="1800"/>
      <c r="D29" s="1801"/>
      <c r="E29" s="1801"/>
      <c r="F29" s="1801"/>
      <c r="G29" s="715" t="s">
        <v>610</v>
      </c>
      <c r="H29" s="1058" t="s">
        <v>610</v>
      </c>
      <c r="I29" s="715" t="s">
        <v>610</v>
      </c>
      <c r="J29" s="1130"/>
      <c r="K29" s="1142"/>
      <c r="L29" s="1119" t="s">
        <v>476</v>
      </c>
      <c r="M29" s="1119" t="s">
        <v>476</v>
      </c>
      <c r="N29" s="1120"/>
      <c r="O29" s="1800"/>
      <c r="P29" s="1802"/>
      <c r="Q29" s="185"/>
    </row>
    <row r="30" spans="1:17" ht="37.5" hidden="1" customHeight="1" outlineLevel="1">
      <c r="A30" s="715"/>
      <c r="B30" s="1057"/>
      <c r="C30" s="1800"/>
      <c r="D30" s="1801"/>
      <c r="E30" s="1801"/>
      <c r="F30" s="1801"/>
      <c r="G30" s="715" t="s">
        <v>610</v>
      </c>
      <c r="H30" s="1058" t="s">
        <v>610</v>
      </c>
      <c r="I30" s="715" t="s">
        <v>610</v>
      </c>
      <c r="J30" s="1130"/>
      <c r="K30" s="1142"/>
      <c r="L30" s="1119" t="s">
        <v>476</v>
      </c>
      <c r="M30" s="1119" t="s">
        <v>476</v>
      </c>
      <c r="N30" s="1120"/>
      <c r="O30" s="1800"/>
      <c r="P30" s="1802"/>
      <c r="Q30" s="185"/>
    </row>
    <row r="31" spans="1:17" ht="37.5" hidden="1" customHeight="1" outlineLevel="1">
      <c r="A31" s="715"/>
      <c r="B31" s="1057"/>
      <c r="C31" s="1800"/>
      <c r="D31" s="1801"/>
      <c r="E31" s="1801"/>
      <c r="F31" s="1801"/>
      <c r="G31" s="715" t="s">
        <v>610</v>
      </c>
      <c r="H31" s="1058" t="s">
        <v>610</v>
      </c>
      <c r="I31" s="715" t="s">
        <v>610</v>
      </c>
      <c r="J31" s="1130"/>
      <c r="K31" s="1142"/>
      <c r="L31" s="1119" t="s">
        <v>476</v>
      </c>
      <c r="M31" s="1119" t="s">
        <v>476</v>
      </c>
      <c r="N31" s="1120"/>
      <c r="O31" s="1800"/>
      <c r="P31" s="1802"/>
      <c r="Q31" s="185"/>
    </row>
    <row r="32" spans="1:17" ht="11.25" customHeight="1" collapsed="1">
      <c r="A32" s="1812"/>
      <c r="B32" s="1813"/>
      <c r="C32" s="1813"/>
      <c r="D32" s="1813"/>
      <c r="E32" s="1813"/>
      <c r="F32" s="1813"/>
      <c r="G32" s="1813"/>
      <c r="H32" s="1813"/>
      <c r="I32" s="1813"/>
      <c r="J32" s="1813"/>
      <c r="K32" s="1813"/>
      <c r="L32" s="1813"/>
      <c r="M32" s="1813"/>
      <c r="N32" s="1813"/>
      <c r="O32" s="1813"/>
      <c r="P32" s="1814"/>
      <c r="Q32" s="185"/>
    </row>
    <row r="33" spans="1:17" ht="37.5" hidden="1" customHeight="1" outlineLevel="1">
      <c r="A33" s="715"/>
      <c r="B33" s="1057"/>
      <c r="C33" s="1800"/>
      <c r="D33" s="1801"/>
      <c r="E33" s="1801"/>
      <c r="F33" s="1801"/>
      <c r="G33" s="715" t="s">
        <v>610</v>
      </c>
      <c r="H33" s="1058" t="s">
        <v>610</v>
      </c>
      <c r="I33" s="715" t="s">
        <v>610</v>
      </c>
      <c r="J33" s="1130"/>
      <c r="K33" s="1142"/>
      <c r="L33" s="1119" t="s">
        <v>476</v>
      </c>
      <c r="M33" s="1119" t="s">
        <v>476</v>
      </c>
      <c r="N33" s="1120"/>
      <c r="O33" s="1800"/>
      <c r="P33" s="1802"/>
      <c r="Q33" s="185"/>
    </row>
    <row r="34" spans="1:17" ht="37.5" hidden="1" customHeight="1" outlineLevel="1">
      <c r="A34" s="1077"/>
      <c r="B34" s="1070"/>
      <c r="C34" s="1070"/>
      <c r="D34" s="1071"/>
      <c r="E34" s="1071"/>
      <c r="F34" s="1071"/>
      <c r="G34" s="715" t="s">
        <v>610</v>
      </c>
      <c r="H34" s="1058" t="s">
        <v>610</v>
      </c>
      <c r="I34" s="715" t="s">
        <v>610</v>
      </c>
      <c r="J34" s="1130"/>
      <c r="K34" s="1142"/>
      <c r="L34" s="1119" t="s">
        <v>476</v>
      </c>
      <c r="M34" s="1119" t="s">
        <v>476</v>
      </c>
      <c r="N34" s="1121"/>
      <c r="O34" s="1070"/>
      <c r="P34" s="1078"/>
      <c r="Q34" s="185"/>
    </row>
    <row r="35" spans="1:17" ht="37.5" hidden="1" customHeight="1" outlineLevel="1">
      <c r="A35" s="1077"/>
      <c r="B35" s="1070"/>
      <c r="C35" s="1070"/>
      <c r="D35" s="1071"/>
      <c r="E35" s="1071"/>
      <c r="F35" s="1071"/>
      <c r="G35" s="715" t="s">
        <v>610</v>
      </c>
      <c r="H35" s="1058" t="s">
        <v>610</v>
      </c>
      <c r="I35" s="715" t="s">
        <v>610</v>
      </c>
      <c r="J35" s="1130"/>
      <c r="K35" s="1142"/>
      <c r="L35" s="1119" t="s">
        <v>476</v>
      </c>
      <c r="M35" s="1119" t="s">
        <v>476</v>
      </c>
      <c r="N35" s="1121"/>
      <c r="O35" s="1070"/>
      <c r="P35" s="1078"/>
      <c r="Q35" s="185"/>
    </row>
    <row r="36" spans="1:17" ht="37.5" hidden="1" customHeight="1" outlineLevel="1">
      <c r="A36" s="1077"/>
      <c r="B36" s="1070"/>
      <c r="C36" s="1070"/>
      <c r="D36" s="1071"/>
      <c r="E36" s="1071"/>
      <c r="F36" s="1071"/>
      <c r="G36" s="715" t="s">
        <v>610</v>
      </c>
      <c r="H36" s="1058" t="s">
        <v>610</v>
      </c>
      <c r="I36" s="715" t="s">
        <v>610</v>
      </c>
      <c r="J36" s="1130"/>
      <c r="K36" s="1142"/>
      <c r="L36" s="1119" t="s">
        <v>476</v>
      </c>
      <c r="M36" s="1119" t="s">
        <v>476</v>
      </c>
      <c r="N36" s="1121"/>
      <c r="O36" s="1070"/>
      <c r="P36" s="1078"/>
      <c r="Q36" s="185"/>
    </row>
    <row r="37" spans="1:17" ht="37.5" hidden="1" customHeight="1" outlineLevel="1">
      <c r="A37" s="715"/>
      <c r="B37" s="1057"/>
      <c r="C37" s="1057"/>
      <c r="D37" s="1132"/>
      <c r="E37" s="1132"/>
      <c r="F37" s="1132"/>
      <c r="G37" s="715" t="s">
        <v>610</v>
      </c>
      <c r="H37" s="1058" t="s">
        <v>610</v>
      </c>
      <c r="I37" s="715" t="s">
        <v>610</v>
      </c>
      <c r="J37" s="1130"/>
      <c r="K37" s="1142"/>
      <c r="L37" s="1119" t="s">
        <v>476</v>
      </c>
      <c r="M37" s="1119" t="s">
        <v>476</v>
      </c>
      <c r="N37" s="1120"/>
      <c r="O37" s="1057"/>
      <c r="P37" s="1131"/>
      <c r="Q37" s="185"/>
    </row>
    <row r="38" spans="1:17" ht="12.75" customHeight="1" collapsed="1">
      <c r="A38" s="528"/>
      <c r="B38" s="528"/>
      <c r="C38" s="529"/>
      <c r="D38" s="1809"/>
      <c r="E38" s="1809"/>
      <c r="F38" s="1809"/>
      <c r="G38" s="1809"/>
      <c r="H38" s="530"/>
      <c r="I38" s="530"/>
      <c r="J38" s="531"/>
      <c r="K38" s="528"/>
      <c r="L38" s="531"/>
      <c r="M38" s="531"/>
      <c r="N38" s="531"/>
      <c r="O38" s="531"/>
      <c r="P38" s="532"/>
      <c r="Q38" s="532"/>
    </row>
    <row r="39" spans="1:17" ht="15.75">
      <c r="A39" s="1251" t="s">
        <v>335</v>
      </c>
      <c r="B39" s="533"/>
      <c r="C39" s="13"/>
      <c r="D39" s="13"/>
      <c r="E39" s="13"/>
      <c r="F39" s="13"/>
      <c r="G39" s="13"/>
      <c r="H39" s="13"/>
      <c r="I39" s="13"/>
      <c r="J39" s="13"/>
      <c r="K39" s="13"/>
      <c r="L39" s="13"/>
      <c r="M39" s="13"/>
      <c r="N39" s="13"/>
      <c r="O39" s="13"/>
      <c r="P39" s="13"/>
      <c r="Q39" s="13"/>
    </row>
    <row r="40" spans="1:17" ht="32.25" customHeight="1">
      <c r="A40" s="1810" t="s">
        <v>580</v>
      </c>
      <c r="B40" s="1811"/>
      <c r="C40" s="1811"/>
      <c r="D40" s="1811"/>
      <c r="E40" s="1811"/>
      <c r="F40" s="1811"/>
      <c r="G40" s="1811"/>
      <c r="H40" s="1811"/>
      <c r="I40" s="1811"/>
      <c r="J40" s="1811"/>
      <c r="K40" s="1811"/>
      <c r="L40" s="1811"/>
      <c r="M40" s="1811"/>
      <c r="N40" s="1811"/>
      <c r="O40" s="1811"/>
      <c r="P40" s="1811"/>
      <c r="Q40" s="13"/>
    </row>
    <row r="41" spans="1:17" ht="24.75" customHeight="1" thickBot="1">
      <c r="A41" s="1811"/>
      <c r="B41" s="1811"/>
      <c r="C41" s="1811"/>
      <c r="D41" s="1811"/>
      <c r="E41" s="1811"/>
      <c r="F41" s="1811"/>
      <c r="G41" s="1811"/>
      <c r="H41" s="1811"/>
      <c r="I41" s="1811"/>
      <c r="J41" s="1811"/>
      <c r="K41" s="1811"/>
      <c r="L41" s="1811"/>
      <c r="M41" s="1811"/>
      <c r="N41" s="1811"/>
      <c r="O41" s="1811"/>
      <c r="P41" s="1811"/>
      <c r="Q41" s="13"/>
    </row>
    <row r="42" spans="1:17" ht="97.5" customHeight="1" thickBot="1">
      <c r="A42" s="1806" t="s">
        <v>1180</v>
      </c>
      <c r="B42" s="1807"/>
      <c r="C42" s="1807"/>
      <c r="D42" s="1807"/>
      <c r="E42" s="1807"/>
      <c r="F42" s="1807"/>
      <c r="G42" s="1807"/>
      <c r="H42" s="1807"/>
      <c r="I42" s="1807"/>
      <c r="J42" s="1807"/>
      <c r="K42" s="1807"/>
      <c r="L42" s="1807"/>
      <c r="M42" s="1807"/>
      <c r="N42" s="1807"/>
      <c r="O42" s="1807"/>
      <c r="P42" s="1808"/>
      <c r="Q42" s="13"/>
    </row>
    <row r="43" spans="1:17" ht="7.5" customHeight="1">
      <c r="A43" s="13" t="s">
        <v>715</v>
      </c>
      <c r="B43" s="13"/>
      <c r="C43" s="13"/>
      <c r="D43" s="13"/>
      <c r="E43" s="37"/>
      <c r="F43" s="13"/>
      <c r="G43" s="13"/>
      <c r="H43" s="13"/>
      <c r="I43" s="13"/>
      <c r="J43" s="13"/>
      <c r="K43" s="13"/>
      <c r="L43" s="13"/>
      <c r="M43" s="13"/>
      <c r="N43" s="13"/>
      <c r="O43" s="13"/>
      <c r="P43" s="13"/>
      <c r="Q43" s="13"/>
    </row>
    <row r="44" spans="1:17">
      <c r="A44" s="13"/>
      <c r="B44" s="13"/>
      <c r="C44" s="13"/>
      <c r="D44" s="13"/>
      <c r="E44" s="37"/>
      <c r="F44" s="13"/>
      <c r="G44" s="13"/>
      <c r="H44" s="13"/>
      <c r="I44" s="13"/>
      <c r="J44" s="13"/>
      <c r="K44" s="13"/>
      <c r="L44" s="13"/>
      <c r="M44" s="13"/>
      <c r="N44" s="13"/>
      <c r="O44" s="13"/>
      <c r="P44" s="13"/>
      <c r="Q44" s="13"/>
    </row>
    <row r="45" spans="1:17">
      <c r="A45" s="13"/>
      <c r="B45" s="13"/>
      <c r="C45" s="13"/>
      <c r="D45" s="13"/>
      <c r="E45" s="37"/>
      <c r="F45" s="13"/>
      <c r="G45" s="13"/>
      <c r="H45" s="13"/>
      <c r="I45" s="13"/>
      <c r="J45" s="13"/>
      <c r="K45" s="13"/>
      <c r="L45" s="13"/>
      <c r="M45" s="13"/>
      <c r="N45" s="13"/>
      <c r="O45" s="13"/>
      <c r="P45" s="13"/>
      <c r="Q45" s="13"/>
    </row>
  </sheetData>
  <sheetProtection formatCells="0" formatColumns="0" formatRows="0"/>
  <dataConsolidate/>
  <customSheetViews>
    <customSheetView guid="{E26F941C-F347-432D-B4B3-73B25F002075}" scale="55" showPageBreaks="1" showGridLines="0" fitToPage="1" printArea="1">
      <selection activeCell="T31" sqref="T31"/>
      <pageMargins left="0.52" right="0.43" top="0.43" bottom="0.46" header="0.4" footer="0.28000000000000003"/>
      <printOptions horizontalCentered="1"/>
      <pageSetup paperSize="9" scale="41" orientation="landscape" cellComments="asDisplayed" r:id="rId1"/>
      <headerFooter alignWithMargins="0">
        <oddFooter>&amp;L&amp;9SD 3.1A - Form, Ongoing DR/PU and LFA Review and Recommendation_v2.1 February 2006&amp;R&amp;9Page &amp;P of &amp;N</oddFooter>
      </headerFooter>
    </customSheetView>
  </customSheetViews>
  <mergeCells count="62">
    <mergeCell ref="C12:F12"/>
    <mergeCell ref="C13:F13"/>
    <mergeCell ref="C19:F19"/>
    <mergeCell ref="O18:P18"/>
    <mergeCell ref="C14:F14"/>
    <mergeCell ref="C15:F15"/>
    <mergeCell ref="C16:F16"/>
    <mergeCell ref="C17:F17"/>
    <mergeCell ref="C18:F18"/>
    <mergeCell ref="O16:P16"/>
    <mergeCell ref="O12:P12"/>
    <mergeCell ref="O13:P13"/>
    <mergeCell ref="O19:P19"/>
    <mergeCell ref="O14:P14"/>
    <mergeCell ref="O15:P15"/>
    <mergeCell ref="O17:P17"/>
    <mergeCell ref="A1:G1"/>
    <mergeCell ref="A3:C3"/>
    <mergeCell ref="B10:B11"/>
    <mergeCell ref="D3:G3"/>
    <mergeCell ref="A9:P9"/>
    <mergeCell ref="A10:A11"/>
    <mergeCell ref="I10:I11"/>
    <mergeCell ref="L10:L11"/>
    <mergeCell ref="J10:K10"/>
    <mergeCell ref="G10:G11"/>
    <mergeCell ref="D6:G6"/>
    <mergeCell ref="C10:F11"/>
    <mergeCell ref="H10:H11"/>
    <mergeCell ref="M10:M11"/>
    <mergeCell ref="N10:N11"/>
    <mergeCell ref="O10:P11"/>
    <mergeCell ref="C20:F20"/>
    <mergeCell ref="O20:P20"/>
    <mergeCell ref="A42:P42"/>
    <mergeCell ref="D38:G38"/>
    <mergeCell ref="A40:P41"/>
    <mergeCell ref="C33:F33"/>
    <mergeCell ref="O33:P33"/>
    <mergeCell ref="A32:P32"/>
    <mergeCell ref="O31:P31"/>
    <mergeCell ref="C29:F29"/>
    <mergeCell ref="O29:P29"/>
    <mergeCell ref="O28:P28"/>
    <mergeCell ref="C28:F28"/>
    <mergeCell ref="C22:F22"/>
    <mergeCell ref="C24:F24"/>
    <mergeCell ref="O24:P24"/>
    <mergeCell ref="C30:F30"/>
    <mergeCell ref="C31:F31"/>
    <mergeCell ref="O27:P27"/>
    <mergeCell ref="O26:P26"/>
    <mergeCell ref="O21:P21"/>
    <mergeCell ref="C26:F26"/>
    <mergeCell ref="C25:F25"/>
    <mergeCell ref="C21:F21"/>
    <mergeCell ref="O25:P25"/>
    <mergeCell ref="O22:P22"/>
    <mergeCell ref="O23:P23"/>
    <mergeCell ref="C23:F23"/>
    <mergeCell ref="C27:F27"/>
    <mergeCell ref="O30:P30"/>
  </mergeCells>
  <phoneticPr fontId="0" type="noConversion"/>
  <dataValidations xWindow="411" yWindow="224" count="4">
    <dataValidation type="list" allowBlank="1" showInputMessage="1" showErrorMessage="1" sqref="D2:I2">
      <formula1>"Select,USD,EUR"</formula1>
    </dataValidation>
    <dataValidation type="list" allowBlank="1" showInputMessage="1" showErrorMessage="1" sqref="H12:H31 H33:H37">
      <formula1>"Select, Y-over program term, Y-cumulative annually, N-not cumulative, Y-over RCC term"</formula1>
    </dataValidation>
    <dataValidation type="list" allowBlank="1" showInputMessage="1" showErrorMessage="1" sqref="I12:I31 I33:I37">
      <formula1>"Select, Yes - Top 10, Top 10 equivalent, No"</formula1>
    </dataValidation>
    <dataValidation type="list" allowBlank="1" showInputMessage="1" showErrorMessage="1" sqref="G12:G31 G33:G37">
      <formula1>"Select, National Program, Current grant, GF, GF and other donors"</formula1>
    </dataValidation>
  </dataValidations>
  <printOptions horizontalCentered="1"/>
  <pageMargins left="0.55118110236220474" right="0.55118110236220474" top="0.39370078740157483" bottom="0.59055118110236227" header="0.51181102362204722" footer="0.51181102362204722"/>
  <pageSetup paperSize="9" scale="48" fitToHeight="0" orientation="landscape" cellComments="asDisplayed" r:id="rId2"/>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sheetPr enableFormatConditionsCalculation="0">
    <tabColor indexed="40"/>
    <pageSetUpPr fitToPage="1"/>
  </sheetPr>
  <dimension ref="B1:AJ27"/>
  <sheetViews>
    <sheetView view="pageBreakPreview" topLeftCell="A13" zoomScale="65" zoomScaleNormal="70" zoomScaleSheetLayoutView="65" zoomScalePageLayoutView="70" workbookViewId="0">
      <selection activeCell="P16" sqref="P16"/>
    </sheetView>
  </sheetViews>
  <sheetFormatPr defaultRowHeight="12.75"/>
  <cols>
    <col min="1" max="1" width="2" style="72" customWidth="1"/>
    <col min="2" max="2" width="20.42578125" style="72" customWidth="1"/>
    <col min="3" max="3" width="17.5703125" style="72" hidden="1" customWidth="1"/>
    <col min="4" max="4" width="19" style="72" customWidth="1"/>
    <col min="5" max="5" width="2.28515625" style="72" customWidth="1"/>
    <col min="6" max="6" width="15.85546875" style="72" customWidth="1"/>
    <col min="7" max="7" width="20.5703125" style="72" customWidth="1"/>
    <col min="8" max="8" width="2.42578125" style="72" customWidth="1"/>
    <col min="9" max="9" width="17.85546875" style="72" customWidth="1"/>
    <col min="10" max="10" width="15" style="72" customWidth="1"/>
    <col min="11" max="11" width="2.5703125" style="72" customWidth="1"/>
    <col min="12" max="12" width="18.28515625" style="72" customWidth="1"/>
    <col min="13" max="13" width="19.42578125" style="72" customWidth="1"/>
    <col min="14" max="14" width="20.42578125" style="453" customWidth="1"/>
    <col min="15" max="15" width="26.28515625" style="72" hidden="1" customWidth="1"/>
    <col min="16" max="16" width="46.28515625" style="72" customWidth="1"/>
    <col min="17" max="17" width="38.5703125" style="72" customWidth="1"/>
    <col min="18" max="18" width="7.5703125" style="72" customWidth="1"/>
    <col min="19" max="19" width="9.140625" style="72"/>
    <col min="20" max="32" width="9.140625" style="72" hidden="1" customWidth="1"/>
    <col min="33" max="33" width="14.140625" style="72" hidden="1" customWidth="1"/>
    <col min="34" max="36" width="9.140625" style="72" hidden="1" customWidth="1"/>
    <col min="37" max="16384" width="9.140625" style="72"/>
  </cols>
  <sheetData>
    <row r="1" spans="2:35" ht="25.5" customHeight="1">
      <c r="B1" s="2166" t="s">
        <v>632</v>
      </c>
      <c r="C1" s="2166"/>
      <c r="D1" s="2166"/>
      <c r="E1" s="2166"/>
      <c r="F1" s="2166"/>
      <c r="G1" s="2166"/>
      <c r="H1" s="2166"/>
      <c r="I1" s="2166"/>
      <c r="J1" s="2166"/>
      <c r="K1" s="2166"/>
      <c r="L1" s="2166"/>
      <c r="M1" s="2166"/>
      <c r="N1" s="2166"/>
      <c r="O1" s="2166"/>
      <c r="P1" s="2166"/>
      <c r="Q1" s="2166"/>
      <c r="R1" s="387"/>
    </row>
    <row r="2" spans="2:35" ht="6" customHeight="1" thickBot="1">
      <c r="B2" s="69"/>
      <c r="C2" s="69"/>
      <c r="D2" s="69"/>
      <c r="E2" s="69"/>
      <c r="F2" s="69"/>
      <c r="G2" s="69"/>
      <c r="H2" s="69"/>
      <c r="I2" s="78"/>
      <c r="J2" s="83"/>
      <c r="K2" s="69"/>
      <c r="L2" s="69"/>
      <c r="M2" s="69"/>
      <c r="N2" s="69"/>
    </row>
    <row r="3" spans="2:35" s="755" customFormat="1" ht="45.75" customHeight="1" thickBot="1">
      <c r="B3" s="2736" t="s">
        <v>643</v>
      </c>
      <c r="C3" s="2737"/>
      <c r="D3" s="2737"/>
      <c r="E3" s="2737"/>
      <c r="F3" s="2737"/>
      <c r="G3" s="2737"/>
      <c r="H3" s="2737"/>
      <c r="I3" s="2737"/>
      <c r="J3" s="2737"/>
      <c r="K3" s="2737"/>
      <c r="L3" s="2737"/>
      <c r="M3" s="2737"/>
      <c r="N3" s="2737"/>
      <c r="O3" s="2737"/>
      <c r="P3" s="2737"/>
      <c r="Q3" s="2738"/>
      <c r="R3" s="1112"/>
    </row>
    <row r="4" spans="2:35" ht="13.5" thickBot="1"/>
    <row r="5" spans="2:35" ht="15.75" thickBot="1">
      <c r="B5" s="493" t="s">
        <v>422</v>
      </c>
      <c r="C5" s="496"/>
      <c r="D5" s="496"/>
      <c r="E5" s="496"/>
      <c r="F5" s="496"/>
      <c r="G5" s="652" t="str">
        <f>'LFA_Programmatic Progress_1A'!C7</f>
        <v>BTN-607-G03-H</v>
      </c>
      <c r="H5" s="489"/>
      <c r="I5" s="489"/>
      <c r="J5" s="489"/>
      <c r="K5" s="487"/>
      <c r="L5" s="488"/>
      <c r="N5" s="670"/>
      <c r="O5" s="653"/>
    </row>
    <row r="6" spans="2:35" ht="15">
      <c r="B6" s="492" t="s">
        <v>624</v>
      </c>
      <c r="C6" s="512"/>
      <c r="D6" s="512"/>
      <c r="E6" s="512"/>
      <c r="F6" s="512"/>
      <c r="G6" s="53" t="s">
        <v>630</v>
      </c>
      <c r="H6" s="2167" t="str">
        <f>'PR_Programmatic Progress_1A'!D12</f>
        <v>Quarter</v>
      </c>
      <c r="I6" s="2168"/>
      <c r="J6" s="5" t="s">
        <v>631</v>
      </c>
      <c r="K6" s="508"/>
      <c r="L6" s="385">
        <f>'PR_Programmatic Progress_1A'!F12</f>
        <v>16</v>
      </c>
      <c r="O6" s="653"/>
    </row>
    <row r="7" spans="2:35" ht="15">
      <c r="B7" s="513" t="s">
        <v>625</v>
      </c>
      <c r="C7" s="40"/>
      <c r="D7" s="40"/>
      <c r="E7" s="40"/>
      <c r="F7" s="40"/>
      <c r="G7" s="54" t="s">
        <v>593</v>
      </c>
      <c r="H7" s="2169">
        <f>'PR_Programmatic Progress_1A'!D13</f>
        <v>40848</v>
      </c>
      <c r="I7" s="2170"/>
      <c r="J7" s="5" t="s">
        <v>611</v>
      </c>
      <c r="K7" s="508"/>
      <c r="L7" s="386">
        <f>'PR_Programmatic Progress_1A'!F13</f>
        <v>40939</v>
      </c>
      <c r="O7" s="653"/>
    </row>
    <row r="8" spans="2:35" ht="15.75" thickBot="1">
      <c r="B8" s="55" t="s">
        <v>626</v>
      </c>
      <c r="C8" s="167"/>
      <c r="D8" s="167"/>
      <c r="E8" s="167"/>
      <c r="F8" s="41"/>
      <c r="G8" s="2163">
        <f>'LFA_Programmatic Progress_1A'!C14</f>
        <v>16</v>
      </c>
      <c r="H8" s="2164"/>
      <c r="I8" s="2164"/>
      <c r="J8" s="2164"/>
      <c r="K8" s="2164"/>
      <c r="L8" s="2165"/>
      <c r="O8" s="490"/>
    </row>
    <row r="9" spans="2:35" ht="15.75" thickBot="1">
      <c r="B9" s="2205" t="s">
        <v>592</v>
      </c>
      <c r="C9" s="2479"/>
      <c r="D9" s="2479"/>
      <c r="E9" s="2479"/>
      <c r="F9" s="2739"/>
      <c r="G9" s="2160" t="str">
        <f>IF('LFA_Programmatic Progress_1A'!C10="","",'LFA_Programmatic Progress_1A'!C10)</f>
        <v>USD</v>
      </c>
      <c r="H9" s="2161"/>
      <c r="I9" s="2161"/>
      <c r="J9" s="2161"/>
      <c r="K9" s="2161"/>
      <c r="L9" s="2162"/>
      <c r="N9" s="566"/>
    </row>
    <row r="10" spans="2:35">
      <c r="N10" s="566"/>
    </row>
    <row r="11" spans="2:35" ht="15.75" customHeight="1">
      <c r="B11" s="2734" t="s">
        <v>248</v>
      </c>
      <c r="C11" s="2735"/>
      <c r="D11" s="2735"/>
      <c r="E11" s="2735"/>
      <c r="F11" s="2735"/>
      <c r="G11" s="2735"/>
      <c r="H11" s="2735"/>
      <c r="I11" s="2735"/>
      <c r="J11" s="2735"/>
      <c r="K11" s="2735"/>
      <c r="L11" s="2735"/>
      <c r="M11" s="2735"/>
      <c r="N11" s="2735"/>
      <c r="O11" s="2735"/>
      <c r="P11" s="2735"/>
      <c r="Q11" s="2735"/>
      <c r="R11" s="522"/>
    </row>
    <row r="12" spans="2:35" ht="12" customHeight="1">
      <c r="B12" s="1243"/>
      <c r="C12" s="1244"/>
      <c r="D12" s="1244"/>
      <c r="E12" s="1244"/>
      <c r="F12" s="1244"/>
      <c r="G12" s="1244"/>
      <c r="H12" s="1244"/>
      <c r="I12" s="1244"/>
      <c r="J12" s="1244"/>
      <c r="K12" s="1244"/>
      <c r="L12" s="1244"/>
      <c r="M12" s="1244"/>
      <c r="N12" s="1244"/>
      <c r="O12" s="1244"/>
      <c r="P12" s="1244"/>
      <c r="Q12" s="1244"/>
      <c r="R12" s="1244"/>
    </row>
    <row r="13" spans="2:35" ht="15.75">
      <c r="B13" s="668"/>
      <c r="C13" s="90"/>
      <c r="D13" s="90"/>
      <c r="E13" s="70"/>
      <c r="F13" s="90"/>
      <c r="G13" s="90"/>
      <c r="H13" s="70"/>
      <c r="I13" s="90"/>
      <c r="J13" s="90"/>
      <c r="K13" s="70"/>
      <c r="L13" s="90"/>
      <c r="M13" s="90"/>
      <c r="N13" s="669"/>
      <c r="O13" s="90"/>
      <c r="P13" s="90"/>
      <c r="Q13" s="90"/>
    </row>
    <row r="14" spans="2:35" s="572" customFormat="1" ht="120" customHeight="1">
      <c r="B14" s="567" t="s">
        <v>381</v>
      </c>
      <c r="C14" s="568" t="s">
        <v>382</v>
      </c>
      <c r="D14" s="569" t="s">
        <v>383</v>
      </c>
      <c r="E14" s="876"/>
      <c r="F14" s="570" t="s">
        <v>130</v>
      </c>
      <c r="G14" s="569" t="s">
        <v>384</v>
      </c>
      <c r="H14" s="876"/>
      <c r="I14" s="570" t="s">
        <v>171</v>
      </c>
      <c r="J14" s="569" t="s">
        <v>385</v>
      </c>
      <c r="K14" s="876"/>
      <c r="L14" s="570" t="s">
        <v>644</v>
      </c>
      <c r="M14" s="569" t="s">
        <v>344</v>
      </c>
      <c r="N14" s="569" t="s">
        <v>348</v>
      </c>
      <c r="O14" s="571" t="s">
        <v>388</v>
      </c>
      <c r="P14" s="569" t="s">
        <v>329</v>
      </c>
      <c r="Q14" s="569" t="s">
        <v>322</v>
      </c>
      <c r="U14" s="567" t="s">
        <v>381</v>
      </c>
      <c r="V14" s="568" t="s">
        <v>382</v>
      </c>
      <c r="W14" s="569" t="s">
        <v>383</v>
      </c>
      <c r="X14" s="876"/>
      <c r="Y14" s="570" t="s">
        <v>130</v>
      </c>
      <c r="Z14" s="569" t="s">
        <v>384</v>
      </c>
      <c r="AA14" s="876"/>
      <c r="AB14" s="570" t="s">
        <v>171</v>
      </c>
      <c r="AC14" s="569" t="s">
        <v>385</v>
      </c>
      <c r="AD14" s="876"/>
      <c r="AE14" s="570" t="s">
        <v>386</v>
      </c>
      <c r="AF14" s="569" t="s">
        <v>387</v>
      </c>
      <c r="AG14" s="569" t="s">
        <v>348</v>
      </c>
      <c r="AH14" s="571" t="s">
        <v>388</v>
      </c>
      <c r="AI14" s="570" t="s">
        <v>418</v>
      </c>
    </row>
    <row r="15" spans="2:35" ht="49.5" customHeight="1">
      <c r="B15" s="1723" t="str">
        <f>U15</f>
        <v>Department of Youth &amp; Sports, MoE</v>
      </c>
      <c r="C15" s="878">
        <f t="shared" ref="C15:D21" si="0">V15</f>
        <v>0</v>
      </c>
      <c r="D15" s="878" t="str">
        <f t="shared" si="0"/>
        <v>27.1.2012</v>
      </c>
      <c r="E15" s="877"/>
      <c r="F15" s="878">
        <f>Y15</f>
        <v>0</v>
      </c>
      <c r="G15" s="878">
        <f>Z15</f>
        <v>58277.760000000002</v>
      </c>
      <c r="H15" s="877"/>
      <c r="I15" s="878">
        <f>AB15</f>
        <v>150074.07</v>
      </c>
      <c r="J15" s="878">
        <f>AC15</f>
        <v>63136.98</v>
      </c>
      <c r="K15" s="877"/>
      <c r="L15" s="878">
        <f>AE15</f>
        <v>225097.78</v>
      </c>
      <c r="M15" s="878"/>
      <c r="N15" s="1727">
        <f>IF(I15="",IF(L15="",0,SUM(I15-L15)),SUM(I15-L15))</f>
        <v>-75023.709999999992</v>
      </c>
      <c r="O15" s="883">
        <v>0</v>
      </c>
      <c r="P15" s="878" t="str">
        <f>AI15</f>
        <v/>
      </c>
      <c r="Q15" s="1588" t="s">
        <v>1069</v>
      </c>
      <c r="U15" s="878" t="str">
        <f>IF('PR_Annex_SR-Financials'!B15="","",'PR_Annex_SR-Financials'!B15)</f>
        <v>Department of Youth &amp; Sports, MoE</v>
      </c>
      <c r="V15" s="878">
        <f>IF('PR_Annex_SR-Financials'!C15="","",'PR_Annex_SR-Financials'!C15)</f>
        <v>0</v>
      </c>
      <c r="W15" s="878" t="str">
        <f>IF('PR_Annex_SR-Financials'!D15="","",'PR_Annex_SR-Financials'!D15)</f>
        <v>27.1.2012</v>
      </c>
      <c r="X15" s="877"/>
      <c r="Y15" s="878">
        <f>IF('PR_Annex_SR-Financials'!F15="","",'PR_Annex_SR-Financials'!F15)</f>
        <v>0</v>
      </c>
      <c r="Z15" s="878">
        <f>IF('PR_Annex_SR-Financials'!G15="","",'PR_Annex_SR-Financials'!G15)</f>
        <v>58277.760000000002</v>
      </c>
      <c r="AA15" s="877"/>
      <c r="AB15" s="878">
        <f>IF('PR_Annex_SR-Financials'!I15="","",'PR_Annex_SR-Financials'!I15)</f>
        <v>150074.07</v>
      </c>
      <c r="AC15" s="878">
        <f>IF('PR_Annex_SR-Financials'!J15="","",'PR_Annex_SR-Financials'!J15)</f>
        <v>63136.98</v>
      </c>
      <c r="AD15" s="877"/>
      <c r="AE15" s="878">
        <f>IF('PR_Annex_SR-Financials'!L15="","",'PR_Annex_SR-Financials'!L15)</f>
        <v>225097.78</v>
      </c>
      <c r="AF15" s="878" t="str">
        <f>IF('PR_Annex_SR-Financials'!M15="","",'PR_Annex_SR-Financials'!M15)</f>
        <v/>
      </c>
      <c r="AG15" s="878">
        <f>IF(AB15="",IF(AE15="",0,SUM(AB15-AE15)),SUM(AB15-AE15))</f>
        <v>-75023.709999999992</v>
      </c>
      <c r="AH15" s="878"/>
      <c r="AI15" s="880" t="str">
        <f>IF('PR_Annex_SR-Financials'!P15="","",'PR_Annex_SR-Financials'!P15)</f>
        <v/>
      </c>
    </row>
    <row r="16" spans="2:35" ht="49.5" customHeight="1">
      <c r="B16" s="1723" t="str">
        <f t="shared" ref="B16:B21" si="1">U16</f>
        <v>Department of Adult &amp; Higher Learning, MoE</v>
      </c>
      <c r="C16" s="883">
        <f>IF('PR_Annex_SR-Financials'!C16="","",'PR_Annex_SR-Financials'!C16)</f>
        <v>0</v>
      </c>
      <c r="D16" s="878" t="str">
        <f t="shared" si="0"/>
        <v>27.1.2012</v>
      </c>
      <c r="E16" s="877"/>
      <c r="F16" s="878">
        <f t="shared" ref="F16:F21" si="2">Y16</f>
        <v>68800</v>
      </c>
      <c r="G16" s="878">
        <f t="shared" ref="G16:G21" si="3">Z16</f>
        <v>64355.4</v>
      </c>
      <c r="H16" s="877"/>
      <c r="I16" s="878">
        <f t="shared" ref="I16:I21" si="4">AB16</f>
        <v>140033</v>
      </c>
      <c r="J16" s="878">
        <f t="shared" ref="J16:J21" si="5">AC16</f>
        <v>64355.4</v>
      </c>
      <c r="K16" s="877"/>
      <c r="L16" s="878">
        <f t="shared" ref="L16:L21" si="6">AE16</f>
        <v>218135.01</v>
      </c>
      <c r="M16" s="878"/>
      <c r="N16" s="1727">
        <f t="shared" ref="N16:N21" si="7">IF(I16="",IF(L16="",0,SUM(I16-L16)),SUM(I16-L16))</f>
        <v>-78102.010000000009</v>
      </c>
      <c r="O16" s="883">
        <v>0</v>
      </c>
      <c r="P16" s="878" t="str">
        <f t="shared" ref="P16:P21" si="8">AI16</f>
        <v/>
      </c>
      <c r="Q16" s="1588" t="s">
        <v>1069</v>
      </c>
      <c r="U16" s="878" t="str">
        <f>IF('PR_Annex_SR-Financials'!B16="","",'PR_Annex_SR-Financials'!B16)</f>
        <v>Department of Adult &amp; Higher Learning, MoE</v>
      </c>
      <c r="V16" s="878">
        <f>IF('PR_Annex_SR-Financials'!C16="","",'PR_Annex_SR-Financials'!C16)</f>
        <v>0</v>
      </c>
      <c r="W16" s="878" t="str">
        <f>IF('PR_Annex_SR-Financials'!D16="","",'PR_Annex_SR-Financials'!D16)</f>
        <v>27.1.2012</v>
      </c>
      <c r="X16" s="877"/>
      <c r="Y16" s="878">
        <f>IF('PR_Annex_SR-Financials'!F16="","",'PR_Annex_SR-Financials'!F16)</f>
        <v>68800</v>
      </c>
      <c r="Z16" s="878">
        <f>IF('PR_Annex_SR-Financials'!G16="","",'PR_Annex_SR-Financials'!G16)</f>
        <v>64355.4</v>
      </c>
      <c r="AA16" s="877"/>
      <c r="AB16" s="878">
        <f>IF('PR_Annex_SR-Financials'!I16="","",'PR_Annex_SR-Financials'!I16)</f>
        <v>140033</v>
      </c>
      <c r="AC16" s="878">
        <f>IF('PR_Annex_SR-Financials'!J16="","",'PR_Annex_SR-Financials'!J16)</f>
        <v>64355.4</v>
      </c>
      <c r="AD16" s="877"/>
      <c r="AE16" s="878">
        <f>IF('PR_Annex_SR-Financials'!L16="","",'PR_Annex_SR-Financials'!L16)</f>
        <v>218135.01</v>
      </c>
      <c r="AF16" s="878" t="str">
        <f>IF('PR_Annex_SR-Financials'!M16="","",'PR_Annex_SR-Financials'!M16)</f>
        <v/>
      </c>
      <c r="AG16" s="878">
        <f t="shared" ref="AG16:AG21" si="9">IF(AB16="",IF(AE16="",0,SUM(AB16-AE16)),SUM(AB16-AE16))</f>
        <v>-78102.010000000009</v>
      </c>
      <c r="AH16" s="883"/>
      <c r="AI16" s="880" t="str">
        <f>IF('PR_Annex_SR-Financials'!P16="","",'PR_Annex_SR-Financials'!P16)</f>
        <v/>
      </c>
    </row>
    <row r="17" spans="2:35" ht="49.5" customHeight="1">
      <c r="B17" s="1723" t="str">
        <f t="shared" si="1"/>
        <v>Ministry of Labour &amp; Human Resource</v>
      </c>
      <c r="C17" s="883">
        <f>IF('PR_Annex_SR-Financials'!C17="","",'PR_Annex_SR-Financials'!C17)</f>
        <v>0</v>
      </c>
      <c r="D17" s="878" t="str">
        <f t="shared" si="0"/>
        <v/>
      </c>
      <c r="E17" s="877"/>
      <c r="F17" s="878">
        <f t="shared" si="2"/>
        <v>0</v>
      </c>
      <c r="G17" s="878">
        <f t="shared" si="3"/>
        <v>0</v>
      </c>
      <c r="H17" s="877"/>
      <c r="I17" s="878">
        <f t="shared" si="4"/>
        <v>0</v>
      </c>
      <c r="J17" s="878">
        <f t="shared" si="5"/>
        <v>0</v>
      </c>
      <c r="K17" s="877"/>
      <c r="L17" s="878">
        <f t="shared" si="6"/>
        <v>37040.910000000003</v>
      </c>
      <c r="M17" s="878" t="str">
        <f>AF17</f>
        <v/>
      </c>
      <c r="N17" s="1727">
        <f t="shared" si="7"/>
        <v>-37040.910000000003</v>
      </c>
      <c r="O17" s="883">
        <v>0</v>
      </c>
      <c r="P17" s="878" t="str">
        <f t="shared" si="8"/>
        <v/>
      </c>
      <c r="Q17" s="1588" t="s">
        <v>1069</v>
      </c>
      <c r="U17" s="878" t="str">
        <f>IF('PR_Annex_SR-Financials'!B17="","",'PR_Annex_SR-Financials'!B17)</f>
        <v>Ministry of Labour &amp; Human Resource</v>
      </c>
      <c r="V17" s="878">
        <f>IF('PR_Annex_SR-Financials'!C17="","",'PR_Annex_SR-Financials'!C17)</f>
        <v>0</v>
      </c>
      <c r="W17" s="878" t="str">
        <f>IF('PR_Annex_SR-Financials'!D17="","",'PR_Annex_SR-Financials'!D17)</f>
        <v/>
      </c>
      <c r="X17" s="877"/>
      <c r="Y17" s="878">
        <f>IF('PR_Annex_SR-Financials'!F17="","",'PR_Annex_SR-Financials'!F17)</f>
        <v>0</v>
      </c>
      <c r="Z17" s="878">
        <f>IF('PR_Annex_SR-Financials'!G17="","",'PR_Annex_SR-Financials'!G17)</f>
        <v>0</v>
      </c>
      <c r="AA17" s="877"/>
      <c r="AB17" s="878">
        <f>IF('PR_Annex_SR-Financials'!I17="","",'PR_Annex_SR-Financials'!I17)</f>
        <v>0</v>
      </c>
      <c r="AC17" s="878">
        <f>IF('PR_Annex_SR-Financials'!J17="","",'PR_Annex_SR-Financials'!J17)</f>
        <v>0</v>
      </c>
      <c r="AD17" s="877"/>
      <c r="AE17" s="878">
        <f>IF('PR_Annex_SR-Financials'!L17="","",'PR_Annex_SR-Financials'!L17)</f>
        <v>37040.910000000003</v>
      </c>
      <c r="AF17" s="878" t="str">
        <f>IF('PR_Annex_SR-Financials'!M17="","",'PR_Annex_SR-Financials'!M17)</f>
        <v/>
      </c>
      <c r="AG17" s="878">
        <f t="shared" si="9"/>
        <v>-37040.910000000003</v>
      </c>
      <c r="AH17" s="883"/>
      <c r="AI17" s="880" t="str">
        <f>IF('PR_Annex_SR-Financials'!P17="","",'PR_Annex_SR-Financials'!P17)</f>
        <v/>
      </c>
    </row>
    <row r="18" spans="2:35" ht="49.5" customHeight="1">
      <c r="B18" s="1723" t="str">
        <f t="shared" si="1"/>
        <v>Bhutan Chamber of Commerce &amp; Industries</v>
      </c>
      <c r="C18" s="883">
        <f>IF('PR_Annex_SR-Financials'!C18="","",'PR_Annex_SR-Financials'!C18)</f>
        <v>0</v>
      </c>
      <c r="D18" s="878" t="str">
        <f t="shared" si="0"/>
        <v/>
      </c>
      <c r="E18" s="877"/>
      <c r="F18" s="878" t="str">
        <f t="shared" si="2"/>
        <v/>
      </c>
      <c r="G18" s="878">
        <f t="shared" si="3"/>
        <v>0</v>
      </c>
      <c r="H18" s="877"/>
      <c r="I18" s="878">
        <f t="shared" si="4"/>
        <v>23970</v>
      </c>
      <c r="J18" s="878">
        <f t="shared" si="5"/>
        <v>0</v>
      </c>
      <c r="K18" s="877"/>
      <c r="L18" s="878">
        <f t="shared" si="6"/>
        <v>78440.98</v>
      </c>
      <c r="M18" s="878" t="str">
        <f>AF18</f>
        <v/>
      </c>
      <c r="N18" s="1727">
        <f t="shared" si="7"/>
        <v>-54470.979999999996</v>
      </c>
      <c r="O18" s="883">
        <v>0</v>
      </c>
      <c r="P18" s="878" t="str">
        <f t="shared" si="8"/>
        <v/>
      </c>
      <c r="Q18" s="1588" t="s">
        <v>1069</v>
      </c>
      <c r="U18" s="878" t="str">
        <f>IF('PR_Annex_SR-Financials'!B18="","",'PR_Annex_SR-Financials'!B18)</f>
        <v>Bhutan Chamber of Commerce &amp; Industries</v>
      </c>
      <c r="V18" s="878">
        <f>IF('PR_Annex_SR-Financials'!C18="","",'PR_Annex_SR-Financials'!C18)</f>
        <v>0</v>
      </c>
      <c r="W18" s="878" t="str">
        <f>IF('PR_Annex_SR-Financials'!D18="","",'PR_Annex_SR-Financials'!D18)</f>
        <v/>
      </c>
      <c r="X18" s="877"/>
      <c r="Y18" s="878" t="str">
        <f>IF('PR_Annex_SR-Financials'!F18="","",'PR_Annex_SR-Financials'!F18)</f>
        <v/>
      </c>
      <c r="Z18" s="878">
        <f>IF('PR_Annex_SR-Financials'!G18="","",'PR_Annex_SR-Financials'!G18)</f>
        <v>0</v>
      </c>
      <c r="AA18" s="877"/>
      <c r="AB18" s="878">
        <f>IF('PR_Annex_SR-Financials'!I18="","",'PR_Annex_SR-Financials'!I18)</f>
        <v>23970</v>
      </c>
      <c r="AC18" s="878">
        <f>IF('PR_Annex_SR-Financials'!J18="","",'PR_Annex_SR-Financials'!J18)</f>
        <v>0</v>
      </c>
      <c r="AD18" s="877"/>
      <c r="AE18" s="878">
        <f>IF('PR_Annex_SR-Financials'!L18="","",'PR_Annex_SR-Financials'!L18)</f>
        <v>78440.98</v>
      </c>
      <c r="AF18" s="878" t="str">
        <f>IF('PR_Annex_SR-Financials'!M18="","",'PR_Annex_SR-Financials'!M18)</f>
        <v/>
      </c>
      <c r="AG18" s="878">
        <f t="shared" si="9"/>
        <v>-54470.979999999996</v>
      </c>
      <c r="AH18" s="883"/>
      <c r="AI18" s="880" t="str">
        <f>IF('PR_Annex_SR-Financials'!P18="","",'PR_Annex_SR-Financials'!P18)</f>
        <v/>
      </c>
    </row>
    <row r="19" spans="2:35" ht="49.5" customHeight="1">
      <c r="B19" s="878" t="str">
        <f t="shared" si="1"/>
        <v>Armed Forces</v>
      </c>
      <c r="C19" s="883">
        <f>IF('PR_Annex_SR-Financials'!C19="","",'PR_Annex_SR-Financials'!C19)</f>
        <v>0</v>
      </c>
      <c r="D19" s="878" t="str">
        <f t="shared" si="0"/>
        <v/>
      </c>
      <c r="E19" s="877"/>
      <c r="F19" s="878" t="str">
        <f t="shared" si="2"/>
        <v/>
      </c>
      <c r="G19" s="878">
        <f t="shared" si="3"/>
        <v>4408.1899999999996</v>
      </c>
      <c r="H19" s="877"/>
      <c r="I19" s="878">
        <f t="shared" si="4"/>
        <v>31745</v>
      </c>
      <c r="J19" s="878">
        <f t="shared" si="5"/>
        <v>7421.45</v>
      </c>
      <c r="K19" s="877"/>
      <c r="L19" s="878">
        <f t="shared" si="6"/>
        <v>85801.71</v>
      </c>
      <c r="M19" s="878" t="str">
        <f>AF19</f>
        <v/>
      </c>
      <c r="N19" s="1727">
        <f t="shared" si="7"/>
        <v>-54056.710000000006</v>
      </c>
      <c r="O19" s="883">
        <v>0</v>
      </c>
      <c r="P19" s="878" t="str">
        <f t="shared" si="8"/>
        <v/>
      </c>
      <c r="Q19" s="1588" t="s">
        <v>1069</v>
      </c>
      <c r="U19" s="878" t="str">
        <f>IF('PR_Annex_SR-Financials'!B19="","",'PR_Annex_SR-Financials'!B19)</f>
        <v>Armed Forces</v>
      </c>
      <c r="V19" s="878">
        <f>IF('PR_Annex_SR-Financials'!C19="","",'PR_Annex_SR-Financials'!C19)</f>
        <v>0</v>
      </c>
      <c r="W19" s="878" t="str">
        <f>IF('PR_Annex_SR-Financials'!D19="","",'PR_Annex_SR-Financials'!D19)</f>
        <v/>
      </c>
      <c r="X19" s="877"/>
      <c r="Y19" s="878" t="str">
        <f>IF('PR_Annex_SR-Financials'!F19="","",'PR_Annex_SR-Financials'!F19)</f>
        <v/>
      </c>
      <c r="Z19" s="878">
        <f>IF('PR_Annex_SR-Financials'!G19="","",'PR_Annex_SR-Financials'!G19)</f>
        <v>4408.1899999999996</v>
      </c>
      <c r="AA19" s="877"/>
      <c r="AB19" s="878">
        <f>IF('PR_Annex_SR-Financials'!I19="","",'PR_Annex_SR-Financials'!I19)</f>
        <v>31745</v>
      </c>
      <c r="AC19" s="878">
        <f>IF('PR_Annex_SR-Financials'!J19="","",'PR_Annex_SR-Financials'!J19)</f>
        <v>7421.45</v>
      </c>
      <c r="AD19" s="877"/>
      <c r="AE19" s="878">
        <f>IF('PR_Annex_SR-Financials'!L19="","",'PR_Annex_SR-Financials'!L19)</f>
        <v>85801.71</v>
      </c>
      <c r="AF19" s="878" t="str">
        <f>IF('PR_Annex_SR-Financials'!M19="","",'PR_Annex_SR-Financials'!M19)</f>
        <v/>
      </c>
      <c r="AG19" s="878">
        <f t="shared" si="9"/>
        <v>-54056.710000000006</v>
      </c>
      <c r="AH19" s="883"/>
      <c r="AI19" s="880" t="str">
        <f>IF('PR_Annex_SR-Financials'!P19="","",'PR_Annex_SR-Financials'!P19)</f>
        <v/>
      </c>
    </row>
    <row r="20" spans="2:35" ht="49.5" customHeight="1">
      <c r="B20" s="1723" t="str">
        <f t="shared" si="1"/>
        <v>Dratshang Lhengtshog</v>
      </c>
      <c r="C20" s="883">
        <f>IF('PR_Annex_SR-Financials'!C20="","",'PR_Annex_SR-Financials'!C20)</f>
        <v>0</v>
      </c>
      <c r="D20" s="878" t="str">
        <f t="shared" si="0"/>
        <v/>
      </c>
      <c r="E20" s="877"/>
      <c r="F20" s="878" t="str">
        <f t="shared" si="2"/>
        <v/>
      </c>
      <c r="G20" s="878">
        <f t="shared" si="3"/>
        <v>7764.97</v>
      </c>
      <c r="H20" s="877"/>
      <c r="I20" s="878">
        <f t="shared" si="4"/>
        <v>9485</v>
      </c>
      <c r="J20" s="878">
        <f t="shared" si="5"/>
        <v>9475.8799999999992</v>
      </c>
      <c r="K20" s="877"/>
      <c r="L20" s="878">
        <f t="shared" si="6"/>
        <v>58142.86</v>
      </c>
      <c r="M20" s="878" t="str">
        <f>AF20</f>
        <v/>
      </c>
      <c r="N20" s="1727">
        <f t="shared" si="7"/>
        <v>-48657.86</v>
      </c>
      <c r="O20" s="883">
        <v>0</v>
      </c>
      <c r="P20" s="878" t="str">
        <f t="shared" si="8"/>
        <v/>
      </c>
      <c r="Q20" s="1588" t="s">
        <v>1069</v>
      </c>
      <c r="U20" s="878" t="str">
        <f>IF('PR_Annex_SR-Financials'!B20="","",'PR_Annex_SR-Financials'!B20)</f>
        <v>Dratshang Lhengtshog</v>
      </c>
      <c r="V20" s="878">
        <f>IF('PR_Annex_SR-Financials'!C20="","",'PR_Annex_SR-Financials'!C20)</f>
        <v>0</v>
      </c>
      <c r="W20" s="878" t="str">
        <f>IF('PR_Annex_SR-Financials'!D20="","",'PR_Annex_SR-Financials'!D20)</f>
        <v/>
      </c>
      <c r="X20" s="877"/>
      <c r="Y20" s="878" t="str">
        <f>IF('PR_Annex_SR-Financials'!F20="","",'PR_Annex_SR-Financials'!F20)</f>
        <v/>
      </c>
      <c r="Z20" s="878">
        <f>IF('PR_Annex_SR-Financials'!G20="","",'PR_Annex_SR-Financials'!G20)</f>
        <v>7764.97</v>
      </c>
      <c r="AA20" s="877"/>
      <c r="AB20" s="878">
        <f>IF('PR_Annex_SR-Financials'!I20="","",'PR_Annex_SR-Financials'!I20)</f>
        <v>9485</v>
      </c>
      <c r="AC20" s="878">
        <f>IF('PR_Annex_SR-Financials'!J20="","",'PR_Annex_SR-Financials'!J20)</f>
        <v>9475.8799999999992</v>
      </c>
      <c r="AD20" s="877"/>
      <c r="AE20" s="878">
        <f>IF('PR_Annex_SR-Financials'!L20="","",'PR_Annex_SR-Financials'!L20)</f>
        <v>58142.86</v>
      </c>
      <c r="AF20" s="878" t="str">
        <f>IF('PR_Annex_SR-Financials'!M20="","",'PR_Annex_SR-Financials'!M20)</f>
        <v/>
      </c>
      <c r="AG20" s="878">
        <f t="shared" si="9"/>
        <v>-48657.86</v>
      </c>
      <c r="AH20" s="883"/>
      <c r="AI20" s="880" t="str">
        <f>IF('PR_Annex_SR-Financials'!P20="","",'PR_Annex_SR-Financials'!P20)</f>
        <v/>
      </c>
    </row>
    <row r="21" spans="2:35" ht="49.5" customHeight="1">
      <c r="B21" s="1723" t="str">
        <f t="shared" si="1"/>
        <v>Royal Institute of Health Sciences</v>
      </c>
      <c r="C21" s="883">
        <f>IF('PR_Annex_SR-Financials'!C21="","",'PR_Annex_SR-Financials'!C21)</f>
        <v>0</v>
      </c>
      <c r="D21" s="878" t="str">
        <f t="shared" si="0"/>
        <v/>
      </c>
      <c r="E21" s="877"/>
      <c r="F21" s="878">
        <f t="shared" si="2"/>
        <v>0</v>
      </c>
      <c r="G21" s="878">
        <f t="shared" si="3"/>
        <v>0</v>
      </c>
      <c r="H21" s="877"/>
      <c r="I21" s="878">
        <f t="shared" si="4"/>
        <v>0</v>
      </c>
      <c r="J21" s="878">
        <f t="shared" si="5"/>
        <v>0</v>
      </c>
      <c r="K21" s="877"/>
      <c r="L21" s="878">
        <f t="shared" si="6"/>
        <v>0</v>
      </c>
      <c r="M21" s="878" t="str">
        <f>AF21</f>
        <v/>
      </c>
      <c r="N21" s="1727">
        <f t="shared" si="7"/>
        <v>0</v>
      </c>
      <c r="O21" s="883">
        <v>0</v>
      </c>
      <c r="P21" s="878" t="str">
        <f t="shared" si="8"/>
        <v/>
      </c>
      <c r="Q21" s="1588" t="s">
        <v>1069</v>
      </c>
      <c r="U21" s="878" t="str">
        <f>IF('PR_Annex_SR-Financials'!B21="","",'PR_Annex_SR-Financials'!B21)</f>
        <v>Royal Institute of Health Sciences</v>
      </c>
      <c r="V21" s="878">
        <f>IF('PR_Annex_SR-Financials'!C21="","",'PR_Annex_SR-Financials'!C21)</f>
        <v>0</v>
      </c>
      <c r="W21" s="878" t="str">
        <f>IF('PR_Annex_SR-Financials'!D21="","",'PR_Annex_SR-Financials'!D21)</f>
        <v/>
      </c>
      <c r="X21" s="877"/>
      <c r="Y21" s="878">
        <f>IF('PR_Annex_SR-Financials'!F21="","",'PR_Annex_SR-Financials'!F21)</f>
        <v>0</v>
      </c>
      <c r="Z21" s="878">
        <f>IF('PR_Annex_SR-Financials'!G21="","",'PR_Annex_SR-Financials'!G21)</f>
        <v>0</v>
      </c>
      <c r="AA21" s="877"/>
      <c r="AB21" s="878">
        <f>IF('PR_Annex_SR-Financials'!I21="","",'PR_Annex_SR-Financials'!I21)</f>
        <v>0</v>
      </c>
      <c r="AC21" s="878">
        <f>IF('PR_Annex_SR-Financials'!J21="","",'PR_Annex_SR-Financials'!J21)</f>
        <v>0</v>
      </c>
      <c r="AD21" s="877"/>
      <c r="AE21" s="878">
        <f>IF('PR_Annex_SR-Financials'!L21="","",'PR_Annex_SR-Financials'!L21)</f>
        <v>0</v>
      </c>
      <c r="AF21" s="878" t="str">
        <f>IF('PR_Annex_SR-Financials'!M21="","",'PR_Annex_SR-Financials'!M21)</f>
        <v/>
      </c>
      <c r="AG21" s="878">
        <f t="shared" si="9"/>
        <v>0</v>
      </c>
      <c r="AH21" s="883"/>
      <c r="AI21" s="880" t="str">
        <f>IF('PR_Annex_SR-Financials'!P21="","",'PR_Annex_SR-Financials'!P21)</f>
        <v/>
      </c>
    </row>
    <row r="22" spans="2:35" ht="12.75" customHeight="1">
      <c r="B22" s="573"/>
      <c r="C22" s="574"/>
      <c r="D22" s="573"/>
      <c r="E22" s="350"/>
      <c r="F22" s="654"/>
      <c r="G22" s="654"/>
      <c r="H22" s="350"/>
      <c r="I22" s="654"/>
      <c r="J22" s="654"/>
      <c r="K22" s="350"/>
      <c r="L22" s="654"/>
      <c r="M22" s="656"/>
      <c r="N22" s="654"/>
      <c r="O22" s="655"/>
      <c r="P22" s="656"/>
      <c r="Q22" s="573"/>
    </row>
    <row r="23" spans="2:35" ht="15">
      <c r="B23" s="573" t="s">
        <v>389</v>
      </c>
      <c r="C23" s="574"/>
      <c r="D23" s="573"/>
      <c r="E23" s="350"/>
      <c r="F23" s="1724">
        <f>SUM(F15:F21)</f>
        <v>68800</v>
      </c>
      <c r="G23" s="1724">
        <f>SUM(G15:G21)</f>
        <v>134806.32</v>
      </c>
      <c r="H23" s="1725"/>
      <c r="I23" s="1724">
        <f>SUM(I15:I21)</f>
        <v>355307.07</v>
      </c>
      <c r="J23" s="1724">
        <f>SUM(J15:J21)</f>
        <v>144389.71000000002</v>
      </c>
      <c r="K23" s="1725"/>
      <c r="L23" s="1724">
        <f>SUM(L15:L21)</f>
        <v>702659.25</v>
      </c>
      <c r="M23" s="1726"/>
      <c r="N23" s="1724">
        <f>SUM(N15:N21)</f>
        <v>-347352.18</v>
      </c>
      <c r="O23" s="655"/>
      <c r="P23" s="657"/>
      <c r="Q23" s="88"/>
      <c r="U23" s="573" t="s">
        <v>389</v>
      </c>
      <c r="V23" s="574"/>
      <c r="W23" s="573"/>
      <c r="X23" s="350"/>
      <c r="Y23" s="717">
        <f>SUM(Y15:Y21)</f>
        <v>68800</v>
      </c>
      <c r="Z23" s="717">
        <f>SUM(Z15:Z21)</f>
        <v>134806.32</v>
      </c>
      <c r="AA23" s="350"/>
      <c r="AB23" s="717">
        <f>SUM(AB15:AB21)</f>
        <v>355307.07</v>
      </c>
      <c r="AC23" s="717">
        <f>SUM(AC15:AC21)</f>
        <v>144389.71000000002</v>
      </c>
      <c r="AD23" s="350"/>
      <c r="AE23" s="717">
        <f>SUM(AE15:AE21)</f>
        <v>702659.25</v>
      </c>
      <c r="AF23" s="718"/>
      <c r="AG23" s="717">
        <f>SUM(AG15:AG21)</f>
        <v>-347352.18</v>
      </c>
    </row>
    <row r="24" spans="2:35" ht="14.25">
      <c r="B24" s="75"/>
      <c r="C24" s="75"/>
      <c r="D24" s="75"/>
      <c r="E24" s="75"/>
      <c r="F24" s="75"/>
      <c r="G24" s="75"/>
      <c r="H24" s="75"/>
      <c r="I24" s="75"/>
      <c r="J24" s="75"/>
      <c r="K24" s="75"/>
      <c r="L24" s="75"/>
      <c r="M24" s="75"/>
      <c r="N24" s="576"/>
      <c r="O24" s="75"/>
      <c r="P24" s="75"/>
      <c r="Q24" s="75"/>
    </row>
    <row r="25" spans="2:35" ht="14.25">
      <c r="B25" s="75" t="s">
        <v>172</v>
      </c>
      <c r="C25" s="75"/>
      <c r="D25" s="75"/>
      <c r="E25" s="75"/>
      <c r="F25" s="75"/>
      <c r="G25" s="75"/>
      <c r="H25" s="75"/>
      <c r="I25" s="75"/>
      <c r="J25" s="75"/>
      <c r="K25" s="75"/>
      <c r="L25" s="75"/>
      <c r="M25" s="75"/>
      <c r="N25" s="576"/>
      <c r="O25" s="75"/>
      <c r="P25" s="75"/>
      <c r="Q25" s="75"/>
    </row>
    <row r="26" spans="2:35" ht="14.25">
      <c r="B26" s="75" t="s">
        <v>330</v>
      </c>
      <c r="C26" s="75"/>
      <c r="D26" s="75"/>
      <c r="E26" s="75"/>
      <c r="F26" s="75"/>
      <c r="G26" s="75"/>
      <c r="H26" s="75"/>
      <c r="I26" s="75"/>
      <c r="J26" s="75"/>
      <c r="K26" s="75"/>
      <c r="L26" s="75"/>
      <c r="M26" s="75"/>
      <c r="N26" s="576"/>
      <c r="O26" s="75"/>
      <c r="P26" s="75"/>
      <c r="Q26" s="75"/>
    </row>
    <row r="27" spans="2:35" ht="14.25">
      <c r="B27" s="3"/>
      <c r="C27" s="75"/>
      <c r="D27" s="75"/>
      <c r="E27" s="75"/>
      <c r="F27" s="75"/>
      <c r="G27" s="75"/>
      <c r="H27" s="75"/>
      <c r="I27" s="75"/>
      <c r="J27" s="75"/>
      <c r="K27" s="75"/>
      <c r="L27" s="75"/>
      <c r="M27" s="75"/>
      <c r="N27" s="576"/>
      <c r="O27" s="75"/>
      <c r="P27" s="75"/>
      <c r="Q27" s="75"/>
    </row>
  </sheetData>
  <sheetProtection formatCells="0" formatColumns="0" formatRows="0"/>
  <mergeCells count="8">
    <mergeCell ref="B11:Q11"/>
    <mergeCell ref="B3:Q3"/>
    <mergeCell ref="B1:Q1"/>
    <mergeCell ref="G8:L8"/>
    <mergeCell ref="H6:I6"/>
    <mergeCell ref="H7:I7"/>
    <mergeCell ref="B9:F9"/>
    <mergeCell ref="G9:L9"/>
  </mergeCells>
  <phoneticPr fontId="37" type="noConversion"/>
  <conditionalFormatting sqref="F23:N23 B15:P21">
    <cfRule type="cellIs" dxfId="0" priority="1" operator="notEqual">
      <formula>U15</formula>
    </cfRule>
  </conditionalFormatting>
  <printOptions horizontalCentered="1"/>
  <pageMargins left="0.31496062992125984" right="0.31496062992125984" top="0.59055118110236227" bottom="0.59055118110236227" header="0.51181102362204722" footer="0.51181102362204722"/>
  <pageSetup paperSize="9" scale="53" fitToHeight="0" orientation="landscape" cellComments="asDisplayed" r:id="rId1"/>
  <headerFooter alignWithMargins="0">
    <oddFooter>&amp;L&amp;9&amp;F&amp;C&amp;A&amp;R&amp;9Page &amp;P of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AC121"/>
  <sheetViews>
    <sheetView zoomScale="112" zoomScaleNormal="112" workbookViewId="0">
      <pane xSplit="3" ySplit="1" topLeftCell="AA63" activePane="bottomRight" state="frozen"/>
      <selection pane="topRight" activeCell="D1" sqref="D1"/>
      <selection pane="bottomLeft" activeCell="A3" sqref="A3"/>
      <selection pane="bottomRight" activeCell="B1" sqref="B1:AB1"/>
    </sheetView>
  </sheetViews>
  <sheetFormatPr defaultRowHeight="12.75"/>
  <cols>
    <col min="1" max="1" width="8.140625" style="1410" customWidth="1"/>
    <col min="2" max="2" width="53.140625" style="1410" customWidth="1"/>
    <col min="3" max="3" width="13.85546875" style="1410" customWidth="1"/>
    <col min="4" max="4" width="11.42578125" style="1410" customWidth="1"/>
    <col min="5" max="5" width="12" style="1410" customWidth="1"/>
    <col min="6" max="6" width="9.7109375" style="1410" customWidth="1"/>
    <col min="7" max="7" width="10.5703125" style="1410" customWidth="1"/>
    <col min="8" max="9" width="9.140625" style="1410"/>
    <col min="10" max="10" width="10.28515625" style="1410" customWidth="1"/>
    <col min="11" max="11" width="10.140625" style="1410" customWidth="1"/>
    <col min="12" max="12" width="10.42578125" style="1410" customWidth="1"/>
    <col min="13" max="13" width="9.140625" style="1410"/>
    <col min="14" max="14" width="11" style="1410" customWidth="1"/>
    <col min="15" max="15" width="10.5703125" style="1410" customWidth="1"/>
    <col min="16" max="16" width="10.7109375" style="1410" customWidth="1"/>
    <col min="17" max="17" width="9.140625" style="1410"/>
    <col min="18" max="18" width="10.28515625" style="1410" customWidth="1"/>
    <col min="19" max="20" width="9.85546875" style="1410" bestFit="1" customWidth="1"/>
    <col min="21" max="22" width="9.140625" style="1410"/>
    <col min="23" max="23" width="10.85546875" style="1410" customWidth="1"/>
    <col min="24" max="24" width="9.140625" style="1410"/>
    <col min="25" max="25" width="10.85546875" style="1410" customWidth="1"/>
    <col min="26" max="26" width="10.7109375" style="1410" customWidth="1"/>
    <col min="27" max="27" width="10.5703125" style="1410" bestFit="1" customWidth="1"/>
    <col min="28" max="28" width="9.140625" style="1410"/>
    <col min="29" max="29" width="52.42578125" style="1410" customWidth="1"/>
    <col min="30" max="16384" width="9.140625" style="1410"/>
  </cols>
  <sheetData>
    <row r="1" spans="1:29" ht="33" customHeight="1">
      <c r="A1" s="1408"/>
      <c r="B1" s="2740" t="s">
        <v>1030</v>
      </c>
      <c r="C1" s="2741"/>
      <c r="D1" s="2741"/>
      <c r="E1" s="2741"/>
      <c r="F1" s="2741"/>
      <c r="G1" s="2741"/>
      <c r="H1" s="2741"/>
      <c r="I1" s="2741"/>
      <c r="J1" s="2741"/>
      <c r="K1" s="2741"/>
      <c r="L1" s="2741"/>
      <c r="M1" s="2741"/>
      <c r="N1" s="2741"/>
      <c r="O1" s="2741"/>
      <c r="P1" s="2741"/>
      <c r="Q1" s="2741"/>
      <c r="R1" s="2741"/>
      <c r="S1" s="2741"/>
      <c r="T1" s="2741"/>
      <c r="U1" s="2741"/>
      <c r="V1" s="2741"/>
      <c r="W1" s="2741"/>
      <c r="X1" s="2741"/>
      <c r="Y1" s="2741"/>
      <c r="Z1" s="2741"/>
      <c r="AA1" s="2741"/>
      <c r="AB1" s="2741"/>
      <c r="AC1" s="1409"/>
    </row>
    <row r="2" spans="1:29" ht="21" customHeight="1">
      <c r="A2" s="2751" t="s">
        <v>1018</v>
      </c>
      <c r="B2" s="2751" t="s">
        <v>776</v>
      </c>
      <c r="C2" s="1411"/>
      <c r="D2" s="2748" t="s">
        <v>1000</v>
      </c>
      <c r="E2" s="2749"/>
      <c r="F2" s="2750"/>
      <c r="G2" s="2748" t="s">
        <v>1001</v>
      </c>
      <c r="H2" s="2749"/>
      <c r="I2" s="2750"/>
      <c r="J2" s="2748" t="s">
        <v>1003</v>
      </c>
      <c r="K2" s="2749"/>
      <c r="L2" s="2750"/>
      <c r="M2" s="2753" t="s">
        <v>1004</v>
      </c>
      <c r="N2" s="2754"/>
      <c r="O2" s="2754"/>
      <c r="P2" s="2742" t="s">
        <v>777</v>
      </c>
      <c r="Q2" s="2742"/>
      <c r="R2" s="2743"/>
      <c r="S2" s="2744" t="s">
        <v>778</v>
      </c>
      <c r="T2" s="2742"/>
      <c r="U2" s="2743"/>
      <c r="V2" s="2744" t="s">
        <v>779</v>
      </c>
      <c r="W2" s="2742"/>
      <c r="X2" s="2743"/>
      <c r="Y2" s="2745" t="s">
        <v>780</v>
      </c>
      <c r="Z2" s="2746"/>
      <c r="AA2" s="2746"/>
      <c r="AB2" s="2747"/>
      <c r="AC2" s="1412"/>
    </row>
    <row r="3" spans="1:29" ht="24" customHeight="1">
      <c r="A3" s="2762"/>
      <c r="B3" s="2752"/>
      <c r="C3" s="1411" t="s">
        <v>462</v>
      </c>
      <c r="D3" s="1411" t="s">
        <v>1002</v>
      </c>
      <c r="E3" s="1411" t="s">
        <v>781</v>
      </c>
      <c r="F3" s="1411" t="s">
        <v>599</v>
      </c>
      <c r="G3" s="1411" t="s">
        <v>1002</v>
      </c>
      <c r="H3" s="1411" t="s">
        <v>781</v>
      </c>
      <c r="I3" s="1411" t="s">
        <v>599</v>
      </c>
      <c r="J3" s="1411" t="s">
        <v>1002</v>
      </c>
      <c r="K3" s="1411" t="s">
        <v>781</v>
      </c>
      <c r="L3" s="1413" t="s">
        <v>599</v>
      </c>
      <c r="M3" s="1413" t="s">
        <v>1002</v>
      </c>
      <c r="N3" s="1413" t="s">
        <v>781</v>
      </c>
      <c r="O3" s="1413" t="s">
        <v>599</v>
      </c>
      <c r="P3" s="1413" t="s">
        <v>782</v>
      </c>
      <c r="Q3" s="1413" t="s">
        <v>781</v>
      </c>
      <c r="R3" s="1413" t="s">
        <v>599</v>
      </c>
      <c r="S3" s="1413" t="s">
        <v>782</v>
      </c>
      <c r="T3" s="1413" t="s">
        <v>783</v>
      </c>
      <c r="U3" s="1413" t="s">
        <v>599</v>
      </c>
      <c r="V3" s="1413" t="s">
        <v>782</v>
      </c>
      <c r="W3" s="1413" t="s">
        <v>783</v>
      </c>
      <c r="X3" s="1413" t="s">
        <v>599</v>
      </c>
      <c r="Y3" s="1413" t="s">
        <v>784</v>
      </c>
      <c r="Z3" s="1413" t="s">
        <v>785</v>
      </c>
      <c r="AA3" s="1413" t="s">
        <v>786</v>
      </c>
      <c r="AB3" s="1413" t="s">
        <v>787</v>
      </c>
      <c r="AC3" s="2755" t="s">
        <v>575</v>
      </c>
    </row>
    <row r="4" spans="1:29" ht="23.25" customHeight="1">
      <c r="A4" s="2752"/>
      <c r="B4" s="1411"/>
      <c r="C4" s="1411"/>
      <c r="D4" s="1411"/>
      <c r="E4" s="1411"/>
      <c r="F4" s="1411"/>
      <c r="G4" s="1411"/>
      <c r="H4" s="1411"/>
      <c r="I4" s="1411"/>
      <c r="J4" s="1411"/>
      <c r="K4" s="1411"/>
      <c r="L4" s="1413"/>
      <c r="M4" s="1411"/>
      <c r="N4" s="1414"/>
      <c r="O4" s="1415"/>
      <c r="P4" s="1415"/>
      <c r="Q4" s="1415"/>
      <c r="R4" s="1415"/>
      <c r="S4" s="1413"/>
      <c r="T4" s="1413"/>
      <c r="U4" s="1415"/>
      <c r="V4" s="1415"/>
      <c r="W4" s="1415"/>
      <c r="X4" s="1415"/>
      <c r="Y4" s="1413"/>
      <c r="Z4" s="1413"/>
      <c r="AA4" s="1413"/>
      <c r="AB4" s="1413"/>
      <c r="AC4" s="2756"/>
    </row>
    <row r="5" spans="1:29" s="1428" customFormat="1" ht="24">
      <c r="A5" s="1416" t="s">
        <v>789</v>
      </c>
      <c r="B5" s="1417" t="s">
        <v>790</v>
      </c>
      <c r="C5" s="1418" t="s">
        <v>788</v>
      </c>
      <c r="D5" s="1419">
        <v>10085</v>
      </c>
      <c r="E5" s="1420">
        <v>3806.69</v>
      </c>
      <c r="F5" s="1420">
        <f>+D5-E5</f>
        <v>6278.3099999999995</v>
      </c>
      <c r="G5" s="1416"/>
      <c r="H5" s="1416"/>
      <c r="I5" s="1421">
        <f>+G5-H5</f>
        <v>0</v>
      </c>
      <c r="J5" s="1419">
        <v>10085</v>
      </c>
      <c r="K5" s="1420"/>
      <c r="L5" s="1420">
        <f>+J5-K5</f>
        <v>10085</v>
      </c>
      <c r="M5" s="1419">
        <v>10085</v>
      </c>
      <c r="N5" s="1420">
        <v>30254.000855798029</v>
      </c>
      <c r="O5" s="1422">
        <f>+M5-N5</f>
        <v>-20169.000855798029</v>
      </c>
      <c r="P5" s="1422">
        <v>69692.070000000007</v>
      </c>
      <c r="Q5" s="1422"/>
      <c r="R5" s="1422">
        <f>+P5-Q5</f>
        <v>69692.070000000007</v>
      </c>
      <c r="S5" s="1422"/>
      <c r="T5" s="1422"/>
      <c r="U5" s="1422">
        <f t="shared" ref="U5:U37" si="0">+S5-T5</f>
        <v>0</v>
      </c>
      <c r="V5" s="1422">
        <v>0</v>
      </c>
      <c r="W5" s="1422">
        <v>0</v>
      </c>
      <c r="X5" s="1422">
        <f t="shared" ref="X5:X36" si="1">+V5-W5</f>
        <v>0</v>
      </c>
      <c r="Y5" s="1423">
        <f t="shared" ref="Y5:Y36" si="2">+J5+G5+D5+M5+P5+S5+V5</f>
        <v>99947.07</v>
      </c>
      <c r="Z5" s="1424">
        <f t="shared" ref="Z5:Z36" si="3">+N5+K5+H5+E5+Q5+T5+W5</f>
        <v>34060.690855798028</v>
      </c>
      <c r="AA5" s="1425">
        <f>+Y5-Z5</f>
        <v>65886.379144201986</v>
      </c>
      <c r="AB5" s="1426">
        <f t="shared" ref="AB5:AB12" si="4">+AA5/Y5</f>
        <v>0.65921271273086823</v>
      </c>
      <c r="AC5" s="1427" t="s">
        <v>1056</v>
      </c>
    </row>
    <row r="6" spans="1:29" ht="12.95" customHeight="1">
      <c r="A6" s="1416"/>
      <c r="B6" s="1429" t="s">
        <v>791</v>
      </c>
      <c r="C6" s="1418" t="s">
        <v>788</v>
      </c>
      <c r="D6" s="1419"/>
      <c r="E6" s="1420"/>
      <c r="F6" s="1420"/>
      <c r="G6" s="1416"/>
      <c r="H6" s="1416"/>
      <c r="I6" s="1421"/>
      <c r="J6" s="1419"/>
      <c r="K6" s="1420"/>
      <c r="L6" s="1420"/>
      <c r="M6" s="1419"/>
      <c r="N6" s="1420"/>
      <c r="O6" s="1422"/>
      <c r="P6" s="1422"/>
      <c r="Q6" s="1422"/>
      <c r="R6" s="1422"/>
      <c r="S6" s="1422">
        <v>28160</v>
      </c>
      <c r="T6" s="1422">
        <v>0</v>
      </c>
      <c r="U6" s="1422">
        <f t="shared" si="0"/>
        <v>28160</v>
      </c>
      <c r="V6" s="1422">
        <v>0</v>
      </c>
      <c r="W6" s="1422">
        <v>6642.3848357945781</v>
      </c>
      <c r="X6" s="1422">
        <f t="shared" si="1"/>
        <v>-6642.3848357945781</v>
      </c>
      <c r="Y6" s="1423">
        <f t="shared" si="2"/>
        <v>28160</v>
      </c>
      <c r="Z6" s="1424">
        <f t="shared" si="3"/>
        <v>6642.3848357945781</v>
      </c>
      <c r="AA6" s="1425">
        <f t="shared" ref="AA6:AA69" si="5">+Y6-Z6</f>
        <v>21517.615164205421</v>
      </c>
      <c r="AB6" s="1426">
        <f t="shared" si="4"/>
        <v>0.76411985668343119</v>
      </c>
      <c r="AC6" s="2757" t="s">
        <v>1057</v>
      </c>
    </row>
    <row r="7" spans="1:29" ht="13.5">
      <c r="A7" s="1416"/>
      <c r="B7" s="1429" t="s">
        <v>792</v>
      </c>
      <c r="C7" s="1418" t="s">
        <v>788</v>
      </c>
      <c r="D7" s="1419"/>
      <c r="E7" s="1420"/>
      <c r="F7" s="1420"/>
      <c r="G7" s="1416"/>
      <c r="H7" s="1416"/>
      <c r="I7" s="1421"/>
      <c r="J7" s="1419"/>
      <c r="K7" s="1420"/>
      <c r="L7" s="1420"/>
      <c r="M7" s="1419"/>
      <c r="N7" s="1420"/>
      <c r="O7" s="1422"/>
      <c r="P7" s="1422"/>
      <c r="Q7" s="1422"/>
      <c r="R7" s="1422"/>
      <c r="S7" s="1422">
        <v>2800</v>
      </c>
      <c r="T7" s="1422">
        <v>0</v>
      </c>
      <c r="U7" s="1422">
        <f t="shared" si="0"/>
        <v>2800</v>
      </c>
      <c r="V7" s="1422">
        <v>0</v>
      </c>
      <c r="W7" s="1422">
        <v>0</v>
      </c>
      <c r="X7" s="1422">
        <f t="shared" si="1"/>
        <v>0</v>
      </c>
      <c r="Y7" s="1423">
        <f t="shared" si="2"/>
        <v>2800</v>
      </c>
      <c r="Z7" s="1424">
        <f t="shared" si="3"/>
        <v>0</v>
      </c>
      <c r="AA7" s="1425">
        <f t="shared" si="5"/>
        <v>2800</v>
      </c>
      <c r="AB7" s="1426">
        <f t="shared" si="4"/>
        <v>1</v>
      </c>
      <c r="AC7" s="2758"/>
    </row>
    <row r="8" spans="1:29" ht="13.5">
      <c r="A8" s="1416"/>
      <c r="B8" s="1429" t="s">
        <v>793</v>
      </c>
      <c r="C8" s="1418" t="s">
        <v>788</v>
      </c>
      <c r="D8" s="1419"/>
      <c r="E8" s="1420"/>
      <c r="F8" s="1420"/>
      <c r="G8" s="1416"/>
      <c r="H8" s="1416"/>
      <c r="I8" s="1421"/>
      <c r="J8" s="1419"/>
      <c r="K8" s="1420"/>
      <c r="L8" s="1420"/>
      <c r="M8" s="1419"/>
      <c r="N8" s="1420"/>
      <c r="O8" s="1422"/>
      <c r="P8" s="1422"/>
      <c r="Q8" s="1422"/>
      <c r="R8" s="1422"/>
      <c r="S8" s="1422">
        <v>13500</v>
      </c>
      <c r="T8" s="1422">
        <v>0</v>
      </c>
      <c r="U8" s="1422">
        <f t="shared" si="0"/>
        <v>13500</v>
      </c>
      <c r="V8" s="1422">
        <v>0</v>
      </c>
      <c r="W8" s="1422">
        <v>13500</v>
      </c>
      <c r="X8" s="1422">
        <f t="shared" si="1"/>
        <v>-13500</v>
      </c>
      <c r="Y8" s="1423">
        <f t="shared" si="2"/>
        <v>13500</v>
      </c>
      <c r="Z8" s="1424">
        <f t="shared" si="3"/>
        <v>13500</v>
      </c>
      <c r="AA8" s="1425">
        <f t="shared" si="5"/>
        <v>0</v>
      </c>
      <c r="AB8" s="1426">
        <f t="shared" si="4"/>
        <v>0</v>
      </c>
      <c r="AC8" s="2758"/>
    </row>
    <row r="9" spans="1:29" ht="13.5">
      <c r="A9" s="1416"/>
      <c r="B9" s="1429" t="s">
        <v>794</v>
      </c>
      <c r="C9" s="1418" t="s">
        <v>788</v>
      </c>
      <c r="D9" s="1419"/>
      <c r="E9" s="1420"/>
      <c r="F9" s="1420"/>
      <c r="G9" s="1416"/>
      <c r="H9" s="1416"/>
      <c r="I9" s="1421"/>
      <c r="J9" s="1419"/>
      <c r="K9" s="1420"/>
      <c r="L9" s="1420"/>
      <c r="M9" s="1419"/>
      <c r="N9" s="1420"/>
      <c r="O9" s="1422"/>
      <c r="P9" s="1422"/>
      <c r="Q9" s="1422"/>
      <c r="R9" s="1422"/>
      <c r="S9" s="1422">
        <v>3000</v>
      </c>
      <c r="T9" s="1422">
        <v>0</v>
      </c>
      <c r="U9" s="1422">
        <f t="shared" si="0"/>
        <v>3000</v>
      </c>
      <c r="V9" s="1422">
        <v>0</v>
      </c>
      <c r="W9" s="1422">
        <v>3000</v>
      </c>
      <c r="X9" s="1422">
        <f t="shared" si="1"/>
        <v>-3000</v>
      </c>
      <c r="Y9" s="1423">
        <f t="shared" si="2"/>
        <v>3000</v>
      </c>
      <c r="Z9" s="1424">
        <f t="shared" si="3"/>
        <v>3000</v>
      </c>
      <c r="AA9" s="1425">
        <f t="shared" si="5"/>
        <v>0</v>
      </c>
      <c r="AB9" s="1426">
        <f t="shared" si="4"/>
        <v>0</v>
      </c>
      <c r="AC9" s="2758"/>
    </row>
    <row r="10" spans="1:29" ht="13.5">
      <c r="A10" s="1416"/>
      <c r="B10" s="1429" t="s">
        <v>795</v>
      </c>
      <c r="C10" s="1418" t="s">
        <v>788</v>
      </c>
      <c r="D10" s="1419"/>
      <c r="E10" s="1420"/>
      <c r="F10" s="1420"/>
      <c r="G10" s="1416"/>
      <c r="H10" s="1416"/>
      <c r="I10" s="1421"/>
      <c r="J10" s="1419"/>
      <c r="K10" s="1420"/>
      <c r="L10" s="1420"/>
      <c r="M10" s="1419"/>
      <c r="N10" s="1420"/>
      <c r="O10" s="1422"/>
      <c r="P10" s="1422"/>
      <c r="Q10" s="1422"/>
      <c r="R10" s="1422"/>
      <c r="S10" s="1422">
        <v>450</v>
      </c>
      <c r="T10" s="1422">
        <v>0</v>
      </c>
      <c r="U10" s="1422">
        <f t="shared" si="0"/>
        <v>450</v>
      </c>
      <c r="V10" s="1422">
        <v>0</v>
      </c>
      <c r="W10" s="1422">
        <v>0</v>
      </c>
      <c r="X10" s="1422">
        <f t="shared" si="1"/>
        <v>0</v>
      </c>
      <c r="Y10" s="1423">
        <f t="shared" si="2"/>
        <v>450</v>
      </c>
      <c r="Z10" s="1424">
        <f t="shared" si="3"/>
        <v>0</v>
      </c>
      <c r="AA10" s="1425">
        <f t="shared" si="5"/>
        <v>450</v>
      </c>
      <c r="AB10" s="1426">
        <f t="shared" si="4"/>
        <v>1</v>
      </c>
      <c r="AC10" s="2759"/>
    </row>
    <row r="11" spans="1:29" ht="24">
      <c r="A11" s="1416" t="s">
        <v>796</v>
      </c>
      <c r="B11" s="1417" t="s">
        <v>797</v>
      </c>
      <c r="C11" s="1430" t="s">
        <v>788</v>
      </c>
      <c r="D11" s="1419"/>
      <c r="E11" s="1420"/>
      <c r="F11" s="1420">
        <f>+D11-E11</f>
        <v>0</v>
      </c>
      <c r="G11" s="1419">
        <v>21495</v>
      </c>
      <c r="H11" s="1419"/>
      <c r="I11" s="1421">
        <f>+G11-H11</f>
        <v>21495</v>
      </c>
      <c r="J11" s="1419">
        <v>21495</v>
      </c>
      <c r="K11" s="1420"/>
      <c r="L11" s="1420">
        <f>+J11-K11</f>
        <v>21495</v>
      </c>
      <c r="M11" s="1416"/>
      <c r="N11" s="1421">
        <v>42988.87462558836</v>
      </c>
      <c r="O11" s="1422">
        <f>+M11-N11</f>
        <v>-42988.87462558836</v>
      </c>
      <c r="P11" s="1422"/>
      <c r="Q11" s="1422"/>
      <c r="R11" s="1422">
        <f>+P11-Q11</f>
        <v>0</v>
      </c>
      <c r="S11" s="1422"/>
      <c r="T11" s="1422"/>
      <c r="U11" s="1422">
        <f t="shared" si="0"/>
        <v>0</v>
      </c>
      <c r="V11" s="1422">
        <v>0</v>
      </c>
      <c r="W11" s="1422">
        <v>0</v>
      </c>
      <c r="X11" s="1422">
        <f t="shared" si="1"/>
        <v>0</v>
      </c>
      <c r="Y11" s="1423">
        <f t="shared" si="2"/>
        <v>42990</v>
      </c>
      <c r="Z11" s="1424">
        <f t="shared" si="3"/>
        <v>42988.87462558836</v>
      </c>
      <c r="AA11" s="1425">
        <f t="shared" si="5"/>
        <v>1.1253744116402231</v>
      </c>
      <c r="AB11" s="1426">
        <f t="shared" si="4"/>
        <v>2.6177585755762342E-5</v>
      </c>
      <c r="AC11" s="1431" t="s">
        <v>798</v>
      </c>
    </row>
    <row r="12" spans="1:29" ht="27">
      <c r="A12" s="1416"/>
      <c r="B12" s="1432" t="s">
        <v>799</v>
      </c>
      <c r="C12" s="1430" t="s">
        <v>788</v>
      </c>
      <c r="D12" s="1419"/>
      <c r="E12" s="1420"/>
      <c r="F12" s="1420"/>
      <c r="G12" s="1419"/>
      <c r="H12" s="1419"/>
      <c r="I12" s="1421"/>
      <c r="J12" s="1419"/>
      <c r="K12" s="1420"/>
      <c r="L12" s="1420"/>
      <c r="M12" s="1416"/>
      <c r="N12" s="1421"/>
      <c r="O12" s="1422"/>
      <c r="P12" s="1422"/>
      <c r="Q12" s="1422"/>
      <c r="R12" s="1422"/>
      <c r="S12" s="1422">
        <v>27522</v>
      </c>
      <c r="T12" s="1422"/>
      <c r="U12" s="1422">
        <f t="shared" si="0"/>
        <v>27522</v>
      </c>
      <c r="V12" s="1422">
        <v>0</v>
      </c>
      <c r="W12" s="1422">
        <v>0</v>
      </c>
      <c r="X12" s="1422">
        <f t="shared" si="1"/>
        <v>0</v>
      </c>
      <c r="Y12" s="1423">
        <f t="shared" si="2"/>
        <v>27522</v>
      </c>
      <c r="Z12" s="1424">
        <f t="shared" si="3"/>
        <v>0</v>
      </c>
      <c r="AA12" s="1425">
        <f t="shared" si="5"/>
        <v>27522</v>
      </c>
      <c r="AB12" s="1426">
        <f t="shared" si="4"/>
        <v>1</v>
      </c>
      <c r="AC12" s="1427" t="s">
        <v>800</v>
      </c>
    </row>
    <row r="13" spans="1:29" ht="13.5">
      <c r="A13" s="1416"/>
      <c r="B13" s="1429" t="s">
        <v>801</v>
      </c>
      <c r="C13" s="1430" t="s">
        <v>788</v>
      </c>
      <c r="D13" s="1419"/>
      <c r="E13" s="1420"/>
      <c r="F13" s="1420"/>
      <c r="G13" s="1419"/>
      <c r="H13" s="1419"/>
      <c r="I13" s="1421"/>
      <c r="J13" s="1419"/>
      <c r="K13" s="1420"/>
      <c r="L13" s="1420"/>
      <c r="M13" s="1416"/>
      <c r="N13" s="1421"/>
      <c r="O13" s="1422"/>
      <c r="P13" s="1422"/>
      <c r="Q13" s="1422"/>
      <c r="R13" s="1422"/>
      <c r="S13" s="1422">
        <v>0</v>
      </c>
      <c r="T13" s="1422"/>
      <c r="U13" s="1422">
        <f t="shared" si="0"/>
        <v>0</v>
      </c>
      <c r="V13" s="1422">
        <v>0</v>
      </c>
      <c r="W13" s="1422">
        <v>0</v>
      </c>
      <c r="X13" s="1422">
        <f t="shared" si="1"/>
        <v>0</v>
      </c>
      <c r="Y13" s="1423">
        <f t="shared" si="2"/>
        <v>0</v>
      </c>
      <c r="Z13" s="1424">
        <f t="shared" si="3"/>
        <v>0</v>
      </c>
      <c r="AA13" s="1425">
        <f t="shared" si="5"/>
        <v>0</v>
      </c>
      <c r="AB13" s="1426">
        <v>0</v>
      </c>
      <c r="AC13" s="1431"/>
    </row>
    <row r="14" spans="1:29" ht="13.5">
      <c r="A14" s="1416"/>
      <c r="B14" s="1429" t="s">
        <v>802</v>
      </c>
      <c r="C14" s="1430" t="s">
        <v>788</v>
      </c>
      <c r="D14" s="1419"/>
      <c r="E14" s="1420"/>
      <c r="F14" s="1420"/>
      <c r="G14" s="1419"/>
      <c r="H14" s="1419"/>
      <c r="I14" s="1421"/>
      <c r="J14" s="1419"/>
      <c r="K14" s="1420"/>
      <c r="L14" s="1420"/>
      <c r="M14" s="1416"/>
      <c r="N14" s="1421"/>
      <c r="O14" s="1422"/>
      <c r="P14" s="1422"/>
      <c r="Q14" s="1422"/>
      <c r="R14" s="1422"/>
      <c r="S14" s="1422">
        <v>4950</v>
      </c>
      <c r="T14" s="1422">
        <v>4948.2</v>
      </c>
      <c r="U14" s="1422">
        <f t="shared" si="0"/>
        <v>1.8000000000001819</v>
      </c>
      <c r="V14" s="1422">
        <v>0</v>
      </c>
      <c r="W14" s="1422">
        <v>0</v>
      </c>
      <c r="X14" s="1422">
        <f t="shared" si="1"/>
        <v>0</v>
      </c>
      <c r="Y14" s="1423">
        <f t="shared" si="2"/>
        <v>4950</v>
      </c>
      <c r="Z14" s="1424">
        <f t="shared" si="3"/>
        <v>4948.2</v>
      </c>
      <c r="AA14" s="1425">
        <f t="shared" si="5"/>
        <v>1.8000000000001819</v>
      </c>
      <c r="AB14" s="1426">
        <f>+AA14/Y14</f>
        <v>3.6363636363640037E-4</v>
      </c>
      <c r="AC14" s="1431"/>
    </row>
    <row r="15" spans="1:29" ht="24">
      <c r="A15" s="1416" t="s">
        <v>803</v>
      </c>
      <c r="B15" s="1417" t="s">
        <v>804</v>
      </c>
      <c r="C15" s="1430" t="s">
        <v>788</v>
      </c>
      <c r="D15" s="1419">
        <v>12000</v>
      </c>
      <c r="E15" s="1420"/>
      <c r="F15" s="1420">
        <f t="shared" ref="F15:F22" si="6">+D15-E15</f>
        <v>12000</v>
      </c>
      <c r="G15" s="1419"/>
      <c r="H15" s="1419">
        <v>3627.28</v>
      </c>
      <c r="I15" s="1421">
        <f t="shared" ref="I15:I22" si="7">+G15-H15</f>
        <v>-3627.28</v>
      </c>
      <c r="J15" s="1419"/>
      <c r="K15" s="1420"/>
      <c r="L15" s="1420">
        <f t="shared" ref="L15:L22" si="8">+J15-K15</f>
        <v>0</v>
      </c>
      <c r="M15" s="1416"/>
      <c r="N15" s="1421">
        <v>12000</v>
      </c>
      <c r="O15" s="1422">
        <f t="shared" ref="O15:O22" si="9">+M15-N15</f>
        <v>-12000</v>
      </c>
      <c r="P15" s="1422"/>
      <c r="Q15" s="1422"/>
      <c r="R15" s="1422">
        <f t="shared" ref="R15:R22" si="10">+P15-Q15</f>
        <v>0</v>
      </c>
      <c r="S15" s="1422"/>
      <c r="T15" s="1422"/>
      <c r="U15" s="1422">
        <f t="shared" si="0"/>
        <v>0</v>
      </c>
      <c r="V15" s="1422">
        <v>0</v>
      </c>
      <c r="W15" s="1422">
        <v>0</v>
      </c>
      <c r="X15" s="1422">
        <f t="shared" si="1"/>
        <v>0</v>
      </c>
      <c r="Y15" s="1423">
        <f t="shared" si="2"/>
        <v>12000</v>
      </c>
      <c r="Z15" s="1424">
        <f t="shared" si="3"/>
        <v>15627.28</v>
      </c>
      <c r="AA15" s="1425">
        <f t="shared" si="5"/>
        <v>-3627.2800000000007</v>
      </c>
      <c r="AB15" s="1426">
        <f>+AA15/Y15</f>
        <v>-0.30227333333333339</v>
      </c>
      <c r="AC15" s="1427" t="s">
        <v>805</v>
      </c>
    </row>
    <row r="16" spans="1:29">
      <c r="A16" s="1416" t="s">
        <v>806</v>
      </c>
      <c r="B16" s="1417" t="s">
        <v>807</v>
      </c>
      <c r="C16" s="1430" t="s">
        <v>788</v>
      </c>
      <c r="D16" s="1419">
        <v>5850</v>
      </c>
      <c r="E16" s="1420"/>
      <c r="F16" s="1420">
        <f t="shared" si="6"/>
        <v>5850</v>
      </c>
      <c r="G16" s="1419"/>
      <c r="H16" s="1419"/>
      <c r="I16" s="1421">
        <f t="shared" si="7"/>
        <v>0</v>
      </c>
      <c r="J16" s="1419"/>
      <c r="K16" s="1420"/>
      <c r="L16" s="1420">
        <f t="shared" si="8"/>
        <v>0</v>
      </c>
      <c r="M16" s="1416"/>
      <c r="N16" s="1421">
        <v>5850</v>
      </c>
      <c r="O16" s="1422">
        <f t="shared" si="9"/>
        <v>-5850</v>
      </c>
      <c r="P16" s="1422"/>
      <c r="Q16" s="1422"/>
      <c r="R16" s="1422">
        <f t="shared" si="10"/>
        <v>0</v>
      </c>
      <c r="S16" s="1422"/>
      <c r="T16" s="1422"/>
      <c r="U16" s="1422">
        <f t="shared" si="0"/>
        <v>0</v>
      </c>
      <c r="V16" s="1422">
        <v>0</v>
      </c>
      <c r="W16" s="1422">
        <v>0</v>
      </c>
      <c r="X16" s="1422">
        <f t="shared" si="1"/>
        <v>0</v>
      </c>
      <c r="Y16" s="1423">
        <f t="shared" si="2"/>
        <v>5850</v>
      </c>
      <c r="Z16" s="1424">
        <f t="shared" si="3"/>
        <v>5850</v>
      </c>
      <c r="AA16" s="1425">
        <f t="shared" si="5"/>
        <v>0</v>
      </c>
      <c r="AB16" s="1426">
        <f>+AA16/Y16</f>
        <v>0</v>
      </c>
      <c r="AC16" s="1431"/>
    </row>
    <row r="17" spans="1:29">
      <c r="A17" s="1416" t="s">
        <v>808</v>
      </c>
      <c r="B17" s="1417" t="s">
        <v>809</v>
      </c>
      <c r="C17" s="1430" t="s">
        <v>788</v>
      </c>
      <c r="D17" s="1419">
        <v>4500</v>
      </c>
      <c r="E17" s="1420"/>
      <c r="F17" s="1420">
        <f t="shared" si="6"/>
        <v>4500</v>
      </c>
      <c r="G17" s="1416"/>
      <c r="H17" s="1416"/>
      <c r="I17" s="1421">
        <f t="shared" si="7"/>
        <v>0</v>
      </c>
      <c r="J17" s="1419"/>
      <c r="K17" s="1420"/>
      <c r="L17" s="1420">
        <f t="shared" si="8"/>
        <v>0</v>
      </c>
      <c r="M17" s="1419"/>
      <c r="N17" s="1420">
        <v>4500</v>
      </c>
      <c r="O17" s="1422">
        <f t="shared" si="9"/>
        <v>-4500</v>
      </c>
      <c r="P17" s="1422"/>
      <c r="Q17" s="1422"/>
      <c r="R17" s="1422">
        <f t="shared" si="10"/>
        <v>0</v>
      </c>
      <c r="S17" s="1422"/>
      <c r="T17" s="1422"/>
      <c r="U17" s="1422">
        <f t="shared" si="0"/>
        <v>0</v>
      </c>
      <c r="V17" s="1422">
        <v>0</v>
      </c>
      <c r="W17" s="1422">
        <v>0</v>
      </c>
      <c r="X17" s="1422">
        <f t="shared" si="1"/>
        <v>0</v>
      </c>
      <c r="Y17" s="1423">
        <f t="shared" si="2"/>
        <v>4500</v>
      </c>
      <c r="Z17" s="1424">
        <f t="shared" si="3"/>
        <v>4500</v>
      </c>
      <c r="AA17" s="1425">
        <f t="shared" si="5"/>
        <v>0</v>
      </c>
      <c r="AB17" s="1426">
        <f>+AA17/Y17</f>
        <v>0</v>
      </c>
      <c r="AC17" s="1431"/>
    </row>
    <row r="18" spans="1:29">
      <c r="A18" s="1416" t="s">
        <v>810</v>
      </c>
      <c r="B18" s="1417" t="s">
        <v>811</v>
      </c>
      <c r="C18" s="1430" t="s">
        <v>788</v>
      </c>
      <c r="D18" s="1419">
        <v>0</v>
      </c>
      <c r="E18" s="1420"/>
      <c r="F18" s="1420">
        <f t="shared" si="6"/>
        <v>0</v>
      </c>
      <c r="G18" s="1419"/>
      <c r="H18" s="1419"/>
      <c r="I18" s="1421">
        <f t="shared" si="7"/>
        <v>0</v>
      </c>
      <c r="J18" s="1416"/>
      <c r="K18" s="1421"/>
      <c r="L18" s="1420">
        <f t="shared" si="8"/>
        <v>0</v>
      </c>
      <c r="M18" s="1419"/>
      <c r="N18" s="1420">
        <v>0</v>
      </c>
      <c r="O18" s="1422">
        <f t="shared" si="9"/>
        <v>0</v>
      </c>
      <c r="P18" s="1422"/>
      <c r="Q18" s="1422"/>
      <c r="R18" s="1422">
        <f t="shared" si="10"/>
        <v>0</v>
      </c>
      <c r="S18" s="1422"/>
      <c r="T18" s="1422"/>
      <c r="U18" s="1422">
        <f t="shared" si="0"/>
        <v>0</v>
      </c>
      <c r="V18" s="1422">
        <v>0</v>
      </c>
      <c r="W18" s="1422">
        <v>0</v>
      </c>
      <c r="X18" s="1422">
        <f t="shared" si="1"/>
        <v>0</v>
      </c>
      <c r="Y18" s="1423">
        <f t="shared" si="2"/>
        <v>0</v>
      </c>
      <c r="Z18" s="1424">
        <f t="shared" si="3"/>
        <v>0</v>
      </c>
      <c r="AA18" s="1425">
        <f t="shared" si="5"/>
        <v>0</v>
      </c>
      <c r="AB18" s="1426">
        <v>0</v>
      </c>
      <c r="AC18" s="1431"/>
    </row>
    <row r="19" spans="1:29">
      <c r="A19" s="1416" t="s">
        <v>812</v>
      </c>
      <c r="B19" s="1417" t="s">
        <v>813</v>
      </c>
      <c r="C19" s="1430" t="s">
        <v>788</v>
      </c>
      <c r="D19" s="1419">
        <v>450</v>
      </c>
      <c r="E19" s="1420"/>
      <c r="F19" s="1420">
        <f t="shared" si="6"/>
        <v>450</v>
      </c>
      <c r="G19" s="1416"/>
      <c r="H19" s="1416"/>
      <c r="I19" s="1421">
        <f t="shared" si="7"/>
        <v>0</v>
      </c>
      <c r="J19" s="1419"/>
      <c r="K19" s="1420"/>
      <c r="L19" s="1420">
        <f t="shared" si="8"/>
        <v>0</v>
      </c>
      <c r="M19" s="1419"/>
      <c r="N19" s="1420">
        <v>450</v>
      </c>
      <c r="O19" s="1422">
        <f t="shared" si="9"/>
        <v>-450</v>
      </c>
      <c r="P19" s="1422"/>
      <c r="Q19" s="1422"/>
      <c r="R19" s="1422">
        <f t="shared" si="10"/>
        <v>0</v>
      </c>
      <c r="S19" s="1422"/>
      <c r="T19" s="1422"/>
      <c r="U19" s="1422">
        <f t="shared" si="0"/>
        <v>0</v>
      </c>
      <c r="V19" s="1422">
        <v>0</v>
      </c>
      <c r="W19" s="1422">
        <v>0</v>
      </c>
      <c r="X19" s="1422">
        <f t="shared" si="1"/>
        <v>0</v>
      </c>
      <c r="Y19" s="1423">
        <f t="shared" si="2"/>
        <v>450</v>
      </c>
      <c r="Z19" s="1424">
        <f t="shared" si="3"/>
        <v>450</v>
      </c>
      <c r="AA19" s="1425">
        <f t="shared" si="5"/>
        <v>0</v>
      </c>
      <c r="AB19" s="1426">
        <f>+AA19/Y19</f>
        <v>0</v>
      </c>
      <c r="AC19" s="1431"/>
    </row>
    <row r="20" spans="1:29">
      <c r="A20" s="1416" t="s">
        <v>814</v>
      </c>
      <c r="B20" s="1417" t="s">
        <v>815</v>
      </c>
      <c r="C20" s="1430" t="s">
        <v>788</v>
      </c>
      <c r="D20" s="1419">
        <v>3150</v>
      </c>
      <c r="E20" s="1420"/>
      <c r="F20" s="1420">
        <f t="shared" si="6"/>
        <v>3150</v>
      </c>
      <c r="G20" s="1419"/>
      <c r="H20" s="1419"/>
      <c r="I20" s="1421">
        <f t="shared" si="7"/>
        <v>0</v>
      </c>
      <c r="J20" s="1416"/>
      <c r="K20" s="1421"/>
      <c r="L20" s="1420">
        <f t="shared" si="8"/>
        <v>0</v>
      </c>
      <c r="M20" s="1419"/>
      <c r="N20" s="1420">
        <v>3150</v>
      </c>
      <c r="O20" s="1422">
        <f t="shared" si="9"/>
        <v>-3150</v>
      </c>
      <c r="P20" s="1422"/>
      <c r="Q20" s="1422"/>
      <c r="R20" s="1422">
        <f t="shared" si="10"/>
        <v>0</v>
      </c>
      <c r="S20" s="1422"/>
      <c r="T20" s="1422"/>
      <c r="U20" s="1422">
        <f t="shared" si="0"/>
        <v>0</v>
      </c>
      <c r="V20" s="1422">
        <v>0</v>
      </c>
      <c r="W20" s="1422">
        <v>0</v>
      </c>
      <c r="X20" s="1422">
        <f t="shared" si="1"/>
        <v>0</v>
      </c>
      <c r="Y20" s="1423">
        <f t="shared" si="2"/>
        <v>3150</v>
      </c>
      <c r="Z20" s="1424">
        <f t="shared" si="3"/>
        <v>3150</v>
      </c>
      <c r="AA20" s="1425">
        <f t="shared" si="5"/>
        <v>0</v>
      </c>
      <c r="AB20" s="1426">
        <f>+AA20/Y20</f>
        <v>0</v>
      </c>
      <c r="AC20" s="1431"/>
    </row>
    <row r="21" spans="1:29">
      <c r="A21" s="1416" t="s">
        <v>816</v>
      </c>
      <c r="B21" s="1417" t="s">
        <v>801</v>
      </c>
      <c r="C21" s="1430" t="s">
        <v>788</v>
      </c>
      <c r="D21" s="1419">
        <v>2250</v>
      </c>
      <c r="E21" s="1420"/>
      <c r="F21" s="1420">
        <f t="shared" si="6"/>
        <v>2250</v>
      </c>
      <c r="G21" s="1419"/>
      <c r="H21" s="1419"/>
      <c r="I21" s="1421">
        <f t="shared" si="7"/>
        <v>0</v>
      </c>
      <c r="J21" s="1416"/>
      <c r="K21" s="1421"/>
      <c r="L21" s="1420">
        <f t="shared" si="8"/>
        <v>0</v>
      </c>
      <c r="M21" s="1419"/>
      <c r="N21" s="1420"/>
      <c r="O21" s="1422">
        <f t="shared" si="9"/>
        <v>0</v>
      </c>
      <c r="P21" s="1422"/>
      <c r="Q21" s="1422">
        <v>2076.9699999999998</v>
      </c>
      <c r="R21" s="1422">
        <f t="shared" si="10"/>
        <v>-2076.9699999999998</v>
      </c>
      <c r="S21" s="1422"/>
      <c r="T21" s="1422"/>
      <c r="U21" s="1422">
        <f t="shared" si="0"/>
        <v>0</v>
      </c>
      <c r="V21" s="1422">
        <v>0</v>
      </c>
      <c r="W21" s="1422">
        <v>0</v>
      </c>
      <c r="X21" s="1422">
        <f t="shared" si="1"/>
        <v>0</v>
      </c>
      <c r="Y21" s="1423">
        <f t="shared" si="2"/>
        <v>2250</v>
      </c>
      <c r="Z21" s="1424">
        <f t="shared" si="3"/>
        <v>2076.9699999999998</v>
      </c>
      <c r="AA21" s="1425">
        <f t="shared" si="5"/>
        <v>173.0300000000002</v>
      </c>
      <c r="AB21" s="1426">
        <f>+AA21/Y21</f>
        <v>7.6902222222222316E-2</v>
      </c>
      <c r="AC21" s="1431" t="s">
        <v>798</v>
      </c>
    </row>
    <row r="22" spans="1:29" ht="24">
      <c r="A22" s="1416" t="s">
        <v>817</v>
      </c>
      <c r="B22" s="1417" t="s">
        <v>369</v>
      </c>
      <c r="C22" s="1430" t="s">
        <v>788</v>
      </c>
      <c r="D22" s="1416"/>
      <c r="E22" s="1421">
        <v>11500</v>
      </c>
      <c r="F22" s="1420">
        <f t="shared" si="6"/>
        <v>-11500</v>
      </c>
      <c r="G22" s="1419">
        <v>860</v>
      </c>
      <c r="H22" s="1419"/>
      <c r="I22" s="1421">
        <f t="shared" si="7"/>
        <v>860</v>
      </c>
      <c r="J22" s="1416"/>
      <c r="K22" s="1421"/>
      <c r="L22" s="1420">
        <f t="shared" si="8"/>
        <v>0</v>
      </c>
      <c r="M22" s="1419">
        <v>860</v>
      </c>
      <c r="N22" s="1420"/>
      <c r="O22" s="1422">
        <f t="shared" si="9"/>
        <v>860</v>
      </c>
      <c r="P22" s="1422"/>
      <c r="Q22" s="1422"/>
      <c r="R22" s="1422">
        <f t="shared" si="10"/>
        <v>0</v>
      </c>
      <c r="S22" s="1422"/>
      <c r="T22" s="1422"/>
      <c r="U22" s="1422">
        <f t="shared" si="0"/>
        <v>0</v>
      </c>
      <c r="V22" s="1422">
        <v>0</v>
      </c>
      <c r="W22" s="1422">
        <v>0</v>
      </c>
      <c r="X22" s="1422">
        <f t="shared" si="1"/>
        <v>0</v>
      </c>
      <c r="Y22" s="1423">
        <f t="shared" si="2"/>
        <v>1720</v>
      </c>
      <c r="Z22" s="1424">
        <f t="shared" si="3"/>
        <v>11500</v>
      </c>
      <c r="AA22" s="1425">
        <f t="shared" si="5"/>
        <v>-9780</v>
      </c>
      <c r="AB22" s="1426">
        <f>+AA22/Y22</f>
        <v>-5.6860465116279073</v>
      </c>
      <c r="AC22" s="1427" t="s">
        <v>805</v>
      </c>
    </row>
    <row r="23" spans="1:29" ht="27.75" customHeight="1">
      <c r="A23" s="2760" t="s">
        <v>818</v>
      </c>
      <c r="B23" s="2761"/>
      <c r="C23" s="1433"/>
      <c r="D23" s="1434"/>
      <c r="E23" s="1435"/>
      <c r="F23" s="1435"/>
      <c r="G23" s="1434"/>
      <c r="H23" s="1434"/>
      <c r="I23" s="1434"/>
      <c r="J23" s="1434"/>
      <c r="K23" s="1435"/>
      <c r="L23" s="1435"/>
      <c r="M23" s="1434"/>
      <c r="N23" s="1436"/>
      <c r="O23" s="1437"/>
      <c r="P23" s="1437"/>
      <c r="Q23" s="1437"/>
      <c r="R23" s="1437"/>
      <c r="S23" s="1437"/>
      <c r="T23" s="1437"/>
      <c r="U23" s="1422">
        <f t="shared" si="0"/>
        <v>0</v>
      </c>
      <c r="V23" s="1422">
        <v>0</v>
      </c>
      <c r="W23" s="1422">
        <v>0</v>
      </c>
      <c r="X23" s="1422">
        <f t="shared" si="1"/>
        <v>0</v>
      </c>
      <c r="Y23" s="1423">
        <f t="shared" si="2"/>
        <v>0</v>
      </c>
      <c r="Z23" s="1424">
        <f t="shared" si="3"/>
        <v>0</v>
      </c>
      <c r="AA23" s="1425">
        <f t="shared" si="5"/>
        <v>0</v>
      </c>
      <c r="AB23" s="1426">
        <v>0</v>
      </c>
      <c r="AC23" s="1431"/>
    </row>
    <row r="24" spans="1:29" ht="24">
      <c r="A24" s="1416" t="s">
        <v>819</v>
      </c>
      <c r="B24" s="1417" t="s">
        <v>820</v>
      </c>
      <c r="C24" s="1433" t="s">
        <v>821</v>
      </c>
      <c r="D24" s="1419">
        <v>5000</v>
      </c>
      <c r="E24" s="1420"/>
      <c r="F24" s="1420">
        <f>+D24-E24</f>
        <v>5000</v>
      </c>
      <c r="G24" s="1416"/>
      <c r="H24" s="1416"/>
      <c r="I24" s="1421">
        <f>+G24-H24</f>
        <v>0</v>
      </c>
      <c r="J24" s="1419"/>
      <c r="K24" s="1420">
        <v>5003.24</v>
      </c>
      <c r="L24" s="1420">
        <f>+J24-K24</f>
        <v>-5003.24</v>
      </c>
      <c r="M24" s="1419"/>
      <c r="N24" s="1420">
        <v>0</v>
      </c>
      <c r="O24" s="1422">
        <f>+M24-N24</f>
        <v>0</v>
      </c>
      <c r="P24" s="1422"/>
      <c r="Q24" s="1422"/>
      <c r="R24" s="1422"/>
      <c r="S24" s="1438"/>
      <c r="T24" s="1438"/>
      <c r="U24" s="1422">
        <f t="shared" si="0"/>
        <v>0</v>
      </c>
      <c r="V24" s="1422">
        <v>0</v>
      </c>
      <c r="W24" s="1422">
        <v>0</v>
      </c>
      <c r="X24" s="1422">
        <f t="shared" si="1"/>
        <v>0</v>
      </c>
      <c r="Y24" s="1423">
        <f t="shared" si="2"/>
        <v>5000</v>
      </c>
      <c r="Z24" s="1424">
        <f t="shared" si="3"/>
        <v>5003.24</v>
      </c>
      <c r="AA24" s="1425">
        <f t="shared" si="5"/>
        <v>-3.2399999999997817</v>
      </c>
      <c r="AB24" s="1426">
        <f t="shared" ref="AB24:AB31" si="11">+AA24/Y24</f>
        <v>-6.4799999999995634E-4</v>
      </c>
      <c r="AC24" s="1431" t="s">
        <v>798</v>
      </c>
    </row>
    <row r="25" spans="1:29">
      <c r="A25" s="1416" t="s">
        <v>822</v>
      </c>
      <c r="B25" s="1417" t="s">
        <v>823</v>
      </c>
      <c r="C25" s="1433" t="s">
        <v>821</v>
      </c>
      <c r="D25" s="1419">
        <v>18580</v>
      </c>
      <c r="E25" s="1420"/>
      <c r="F25" s="1420">
        <f>+D25-E25</f>
        <v>18580</v>
      </c>
      <c r="G25" s="1419">
        <v>18580</v>
      </c>
      <c r="H25" s="1419"/>
      <c r="I25" s="1421">
        <f>+G25-H25</f>
        <v>18580</v>
      </c>
      <c r="J25" s="1416"/>
      <c r="K25" s="1421">
        <v>37159.99</v>
      </c>
      <c r="L25" s="1420">
        <f>+J25-K25</f>
        <v>-37159.99</v>
      </c>
      <c r="M25" s="1419"/>
      <c r="N25" s="1420">
        <v>0</v>
      </c>
      <c r="O25" s="1422">
        <f>+M25-N25</f>
        <v>0</v>
      </c>
      <c r="P25" s="1422"/>
      <c r="Q25" s="1422"/>
      <c r="R25" s="1422"/>
      <c r="S25" s="1422"/>
      <c r="T25" s="1422"/>
      <c r="U25" s="1422">
        <f t="shared" si="0"/>
        <v>0</v>
      </c>
      <c r="V25" s="1422">
        <v>0</v>
      </c>
      <c r="W25" s="1422">
        <v>0</v>
      </c>
      <c r="X25" s="1422">
        <f t="shared" si="1"/>
        <v>0</v>
      </c>
      <c r="Y25" s="1423">
        <f t="shared" si="2"/>
        <v>37160</v>
      </c>
      <c r="Z25" s="1424">
        <f t="shared" si="3"/>
        <v>37159.99</v>
      </c>
      <c r="AA25" s="1425">
        <f t="shared" si="5"/>
        <v>1.0000000002037268E-2</v>
      </c>
      <c r="AB25" s="1426">
        <f t="shared" si="11"/>
        <v>2.6910656625503949E-7</v>
      </c>
      <c r="AC25" s="1431" t="s">
        <v>798</v>
      </c>
    </row>
    <row r="26" spans="1:29" ht="13.5">
      <c r="A26" s="1439" t="s">
        <v>824</v>
      </c>
      <c r="B26" s="1429" t="s">
        <v>825</v>
      </c>
      <c r="C26" s="1433"/>
      <c r="D26" s="1419"/>
      <c r="E26" s="1420"/>
      <c r="F26" s="1420"/>
      <c r="G26" s="1419"/>
      <c r="H26" s="1419"/>
      <c r="I26" s="1421"/>
      <c r="J26" s="1416"/>
      <c r="K26" s="1421"/>
      <c r="L26" s="1420"/>
      <c r="M26" s="1419"/>
      <c r="N26" s="1420"/>
      <c r="O26" s="1422"/>
      <c r="P26" s="1422"/>
      <c r="Q26" s="1422"/>
      <c r="R26" s="1422"/>
      <c r="S26" s="1422">
        <v>4255</v>
      </c>
      <c r="T26" s="1422">
        <v>4253.91</v>
      </c>
      <c r="U26" s="1422">
        <f t="shared" si="0"/>
        <v>1.0900000000001455</v>
      </c>
      <c r="V26" s="1422">
        <v>0</v>
      </c>
      <c r="W26" s="1422">
        <v>0</v>
      </c>
      <c r="X26" s="1422">
        <f t="shared" si="1"/>
        <v>0</v>
      </c>
      <c r="Y26" s="1423">
        <f t="shared" si="2"/>
        <v>4255</v>
      </c>
      <c r="Z26" s="1424">
        <f t="shared" si="3"/>
        <v>4253.91</v>
      </c>
      <c r="AA26" s="1425">
        <f t="shared" si="5"/>
        <v>1.0900000000001455</v>
      </c>
      <c r="AB26" s="1426">
        <f t="shared" si="11"/>
        <v>2.5616921269098602E-4</v>
      </c>
      <c r="AC26" s="1431"/>
    </row>
    <row r="27" spans="1:29">
      <c r="A27" s="1416" t="s">
        <v>824</v>
      </c>
      <c r="B27" s="1440" t="s">
        <v>826</v>
      </c>
      <c r="C27" s="1433" t="s">
        <v>821</v>
      </c>
      <c r="D27" s="1419"/>
      <c r="E27" s="1420">
        <v>2048.54</v>
      </c>
      <c r="F27" s="1420">
        <f t="shared" ref="F27:F37" si="12">+D27-E27</f>
        <v>-2048.54</v>
      </c>
      <c r="G27" s="1419"/>
      <c r="H27" s="1419"/>
      <c r="I27" s="1421">
        <f t="shared" ref="I27:I32" si="13">+G27-H27</f>
        <v>0</v>
      </c>
      <c r="J27" s="1419"/>
      <c r="K27" s="1420">
        <v>68800</v>
      </c>
      <c r="L27" s="1420">
        <f t="shared" ref="L27:L32" si="14">+J27-K27</f>
        <v>-68800</v>
      </c>
      <c r="M27" s="1419">
        <v>68800</v>
      </c>
      <c r="N27" s="1420">
        <v>0</v>
      </c>
      <c r="O27" s="1422">
        <f t="shared" ref="O27:O32" si="15">+M27-N27</f>
        <v>68800</v>
      </c>
      <c r="P27" s="1422"/>
      <c r="Q27" s="1422"/>
      <c r="R27" s="1422"/>
      <c r="S27" s="1441"/>
      <c r="T27" s="1441"/>
      <c r="U27" s="1422">
        <f t="shared" si="0"/>
        <v>0</v>
      </c>
      <c r="V27" s="1422">
        <v>0</v>
      </c>
      <c r="W27" s="1422">
        <v>0</v>
      </c>
      <c r="X27" s="1422">
        <f t="shared" si="1"/>
        <v>0</v>
      </c>
      <c r="Y27" s="1423">
        <f t="shared" si="2"/>
        <v>68800</v>
      </c>
      <c r="Z27" s="1424">
        <f t="shared" si="3"/>
        <v>70848.539999999994</v>
      </c>
      <c r="AA27" s="1425">
        <f t="shared" si="5"/>
        <v>-2048.5399999999936</v>
      </c>
      <c r="AB27" s="1426">
        <f t="shared" si="11"/>
        <v>-2.9775290697674324E-2</v>
      </c>
      <c r="AC27" s="1431" t="s">
        <v>798</v>
      </c>
    </row>
    <row r="28" spans="1:29">
      <c r="A28" s="1416" t="s">
        <v>827</v>
      </c>
      <c r="B28" s="1417" t="s">
        <v>801</v>
      </c>
      <c r="C28" s="1433" t="s">
        <v>821</v>
      </c>
      <c r="D28" s="1419">
        <v>2250</v>
      </c>
      <c r="E28" s="1420"/>
      <c r="F28" s="1420">
        <f t="shared" si="12"/>
        <v>2250</v>
      </c>
      <c r="G28" s="1419"/>
      <c r="H28" s="1419"/>
      <c r="I28" s="1421">
        <f t="shared" si="13"/>
        <v>0</v>
      </c>
      <c r="J28" s="1416"/>
      <c r="K28" s="1421"/>
      <c r="L28" s="1420">
        <f t="shared" si="14"/>
        <v>0</v>
      </c>
      <c r="M28" s="1419"/>
      <c r="N28" s="1420">
        <v>2250</v>
      </c>
      <c r="O28" s="1422">
        <f t="shared" si="15"/>
        <v>-2250</v>
      </c>
      <c r="P28" s="1422"/>
      <c r="Q28" s="1422"/>
      <c r="R28" s="1422"/>
      <c r="S28" s="1422"/>
      <c r="T28" s="1422"/>
      <c r="U28" s="1422">
        <f t="shared" si="0"/>
        <v>0</v>
      </c>
      <c r="V28" s="1422">
        <v>0</v>
      </c>
      <c r="W28" s="1422">
        <v>0</v>
      </c>
      <c r="X28" s="1422">
        <f t="shared" si="1"/>
        <v>0</v>
      </c>
      <c r="Y28" s="1423">
        <f t="shared" si="2"/>
        <v>2250</v>
      </c>
      <c r="Z28" s="1424">
        <f t="shared" si="3"/>
        <v>2250</v>
      </c>
      <c r="AA28" s="1425">
        <f t="shared" si="5"/>
        <v>0</v>
      </c>
      <c r="AB28" s="1426">
        <f t="shared" si="11"/>
        <v>0</v>
      </c>
      <c r="AC28" s="1431" t="s">
        <v>828</v>
      </c>
    </row>
    <row r="29" spans="1:29">
      <c r="A29" s="1416" t="s">
        <v>829</v>
      </c>
      <c r="B29" s="1417" t="s">
        <v>830</v>
      </c>
      <c r="C29" s="1433" t="s">
        <v>821</v>
      </c>
      <c r="D29" s="1419">
        <v>5660</v>
      </c>
      <c r="E29" s="1420"/>
      <c r="F29" s="1420">
        <f t="shared" si="12"/>
        <v>5660</v>
      </c>
      <c r="G29" s="1416"/>
      <c r="H29" s="1416"/>
      <c r="I29" s="1421">
        <f t="shared" si="13"/>
        <v>0</v>
      </c>
      <c r="J29" s="1419"/>
      <c r="K29" s="1420">
        <v>5659.99</v>
      </c>
      <c r="L29" s="1420">
        <f t="shared" si="14"/>
        <v>-5659.99</v>
      </c>
      <c r="M29" s="1419"/>
      <c r="N29" s="1420">
        <v>0</v>
      </c>
      <c r="O29" s="1422">
        <f t="shared" si="15"/>
        <v>0</v>
      </c>
      <c r="P29" s="1422"/>
      <c r="Q29" s="1422"/>
      <c r="R29" s="1422"/>
      <c r="S29" s="1422">
        <v>66978</v>
      </c>
      <c r="T29" s="1422">
        <v>66977.960000000006</v>
      </c>
      <c r="U29" s="1422">
        <f t="shared" si="0"/>
        <v>3.9999999993597157E-2</v>
      </c>
      <c r="V29" s="1422">
        <v>0</v>
      </c>
      <c r="W29" s="1422">
        <v>0</v>
      </c>
      <c r="X29" s="1422">
        <f t="shared" si="1"/>
        <v>0</v>
      </c>
      <c r="Y29" s="1423">
        <f t="shared" si="2"/>
        <v>72638</v>
      </c>
      <c r="Z29" s="1424">
        <f t="shared" si="3"/>
        <v>72637.950000000012</v>
      </c>
      <c r="AA29" s="1425">
        <f t="shared" si="5"/>
        <v>4.9999999988358468E-2</v>
      </c>
      <c r="AB29" s="1426">
        <f t="shared" si="11"/>
        <v>6.8834494325777787E-7</v>
      </c>
      <c r="AC29" s="1431" t="s">
        <v>831</v>
      </c>
    </row>
    <row r="30" spans="1:29" ht="24">
      <c r="A30" s="1416" t="s">
        <v>832</v>
      </c>
      <c r="B30" s="1417" t="s">
        <v>833</v>
      </c>
      <c r="C30" s="1433" t="s">
        <v>821</v>
      </c>
      <c r="D30" s="1419"/>
      <c r="E30" s="1442"/>
      <c r="F30" s="1420">
        <f t="shared" si="12"/>
        <v>0</v>
      </c>
      <c r="G30" s="1419"/>
      <c r="H30" s="1419"/>
      <c r="I30" s="1421">
        <f t="shared" si="13"/>
        <v>0</v>
      </c>
      <c r="J30" s="1419">
        <v>6960</v>
      </c>
      <c r="K30" s="1421">
        <v>6956.69</v>
      </c>
      <c r="L30" s="1420">
        <f t="shared" si="14"/>
        <v>3.3100000000004002</v>
      </c>
      <c r="M30" s="1419"/>
      <c r="N30" s="1420">
        <v>0</v>
      </c>
      <c r="O30" s="1422">
        <f t="shared" si="15"/>
        <v>0</v>
      </c>
      <c r="P30" s="1422"/>
      <c r="Q30" s="1422"/>
      <c r="R30" s="1422"/>
      <c r="S30" s="1422"/>
      <c r="T30" s="1422"/>
      <c r="U30" s="1422">
        <f t="shared" si="0"/>
        <v>0</v>
      </c>
      <c r="V30" s="1422">
        <v>0</v>
      </c>
      <c r="W30" s="1422">
        <v>0</v>
      </c>
      <c r="X30" s="1422">
        <f t="shared" si="1"/>
        <v>0</v>
      </c>
      <c r="Y30" s="1423">
        <f t="shared" si="2"/>
        <v>6960</v>
      </c>
      <c r="Z30" s="1424">
        <f t="shared" si="3"/>
        <v>6956.69</v>
      </c>
      <c r="AA30" s="1425">
        <f t="shared" si="5"/>
        <v>3.3100000000004002</v>
      </c>
      <c r="AB30" s="1426">
        <f t="shared" si="11"/>
        <v>4.7557471264373567E-4</v>
      </c>
      <c r="AC30" s="1431" t="s">
        <v>831</v>
      </c>
    </row>
    <row r="31" spans="1:29">
      <c r="A31" s="1416" t="s">
        <v>834</v>
      </c>
      <c r="B31" s="1417" t="s">
        <v>801</v>
      </c>
      <c r="C31" s="1433" t="s">
        <v>821</v>
      </c>
      <c r="D31" s="1419">
        <v>2250</v>
      </c>
      <c r="E31" s="1420"/>
      <c r="F31" s="1420">
        <f t="shared" si="12"/>
        <v>2250</v>
      </c>
      <c r="G31" s="1419"/>
      <c r="H31" s="1419"/>
      <c r="I31" s="1421">
        <f t="shared" si="13"/>
        <v>0</v>
      </c>
      <c r="J31" s="1416"/>
      <c r="K31" s="1421"/>
      <c r="L31" s="1420">
        <f t="shared" si="14"/>
        <v>0</v>
      </c>
      <c r="M31" s="1419"/>
      <c r="N31" s="1420">
        <v>2250</v>
      </c>
      <c r="O31" s="1422">
        <f t="shared" si="15"/>
        <v>-2250</v>
      </c>
      <c r="P31" s="1422"/>
      <c r="Q31" s="1422"/>
      <c r="R31" s="1422"/>
      <c r="S31" s="1422"/>
      <c r="T31" s="1422"/>
      <c r="U31" s="1422">
        <f t="shared" si="0"/>
        <v>0</v>
      </c>
      <c r="V31" s="1422">
        <v>0</v>
      </c>
      <c r="W31" s="1422">
        <v>0</v>
      </c>
      <c r="X31" s="1422">
        <f t="shared" si="1"/>
        <v>0</v>
      </c>
      <c r="Y31" s="1423">
        <f t="shared" si="2"/>
        <v>2250</v>
      </c>
      <c r="Z31" s="1424">
        <f t="shared" si="3"/>
        <v>2250</v>
      </c>
      <c r="AA31" s="1425">
        <f t="shared" si="5"/>
        <v>0</v>
      </c>
      <c r="AB31" s="1426">
        <f t="shared" si="11"/>
        <v>0</v>
      </c>
      <c r="AC31" s="1431" t="s">
        <v>828</v>
      </c>
    </row>
    <row r="32" spans="1:29" ht="24">
      <c r="A32" s="1443" t="s">
        <v>835</v>
      </c>
      <c r="B32" s="1444" t="s">
        <v>836</v>
      </c>
      <c r="C32" s="1433" t="s">
        <v>821</v>
      </c>
      <c r="D32" s="1445"/>
      <c r="E32" s="1446">
        <v>8598.33</v>
      </c>
      <c r="F32" s="1420">
        <f t="shared" si="12"/>
        <v>-8598.33</v>
      </c>
      <c r="G32" s="1445"/>
      <c r="H32" s="1445"/>
      <c r="I32" s="1421">
        <f t="shared" si="13"/>
        <v>0</v>
      </c>
      <c r="J32" s="1443"/>
      <c r="K32" s="1447"/>
      <c r="L32" s="1420">
        <f t="shared" si="14"/>
        <v>0</v>
      </c>
      <c r="M32" s="1445"/>
      <c r="N32" s="1448"/>
      <c r="O32" s="1422">
        <f t="shared" si="15"/>
        <v>0</v>
      </c>
      <c r="P32" s="1422"/>
      <c r="Q32" s="1422"/>
      <c r="R32" s="1422"/>
      <c r="S32" s="1422"/>
      <c r="T32" s="1422"/>
      <c r="U32" s="1422">
        <f t="shared" si="0"/>
        <v>0</v>
      </c>
      <c r="V32" s="1422">
        <v>0</v>
      </c>
      <c r="W32" s="1422">
        <v>0</v>
      </c>
      <c r="X32" s="1422">
        <f t="shared" si="1"/>
        <v>0</v>
      </c>
      <c r="Y32" s="1423">
        <f t="shared" si="2"/>
        <v>0</v>
      </c>
      <c r="Z32" s="1424">
        <f t="shared" si="3"/>
        <v>8598.33</v>
      </c>
      <c r="AA32" s="1425">
        <f t="shared" si="5"/>
        <v>-8598.33</v>
      </c>
      <c r="AB32" s="1426">
        <v>0</v>
      </c>
      <c r="AC32" s="1427" t="s">
        <v>805</v>
      </c>
    </row>
    <row r="33" spans="1:29" ht="23.1" customHeight="1">
      <c r="A33" s="2760" t="s">
        <v>837</v>
      </c>
      <c r="B33" s="2761"/>
      <c r="C33" s="1449"/>
      <c r="D33" s="1450"/>
      <c r="E33" s="1451"/>
      <c r="F33" s="1420">
        <f t="shared" si="12"/>
        <v>0</v>
      </c>
      <c r="G33" s="1450"/>
      <c r="H33" s="1450"/>
      <c r="I33" s="1416"/>
      <c r="J33" s="1450"/>
      <c r="K33" s="1450"/>
      <c r="L33" s="1420"/>
      <c r="M33" s="1450"/>
      <c r="N33" s="1452"/>
      <c r="O33" s="1422"/>
      <c r="P33" s="1422"/>
      <c r="Q33" s="1422"/>
      <c r="R33" s="1422"/>
      <c r="S33" s="1422"/>
      <c r="T33" s="1422"/>
      <c r="U33" s="1422">
        <f t="shared" si="0"/>
        <v>0</v>
      </c>
      <c r="V33" s="1422">
        <v>0</v>
      </c>
      <c r="W33" s="1422">
        <v>0</v>
      </c>
      <c r="X33" s="1422">
        <f t="shared" si="1"/>
        <v>0</v>
      </c>
      <c r="Y33" s="1423">
        <f t="shared" si="2"/>
        <v>0</v>
      </c>
      <c r="Z33" s="1424">
        <f t="shared" si="3"/>
        <v>0</v>
      </c>
      <c r="AA33" s="1425">
        <f t="shared" si="5"/>
        <v>0</v>
      </c>
      <c r="AB33" s="1426">
        <v>0</v>
      </c>
      <c r="AC33" s="1431"/>
    </row>
    <row r="34" spans="1:29" ht="24">
      <c r="A34" s="1453" t="s">
        <v>838</v>
      </c>
      <c r="B34" s="1454" t="s">
        <v>839</v>
      </c>
      <c r="C34" s="1449" t="s">
        <v>840</v>
      </c>
      <c r="D34" s="1455"/>
      <c r="E34" s="1456">
        <v>4535.1899999999996</v>
      </c>
      <c r="F34" s="1420">
        <f t="shared" si="12"/>
        <v>-4535.1899999999996</v>
      </c>
      <c r="G34" s="1455">
        <v>3450</v>
      </c>
      <c r="H34" s="1455">
        <v>345.81</v>
      </c>
      <c r="I34" s="1421">
        <f>+G34-H34</f>
        <v>3104.19</v>
      </c>
      <c r="J34" s="1455"/>
      <c r="K34" s="1456"/>
      <c r="L34" s="1420">
        <f>+J34-K34</f>
        <v>0</v>
      </c>
      <c r="M34" s="1455"/>
      <c r="N34" s="1420">
        <v>3450</v>
      </c>
      <c r="O34" s="1422">
        <f>+M34-N34</f>
        <v>-3450</v>
      </c>
      <c r="P34" s="1422">
        <v>1500</v>
      </c>
      <c r="Q34" s="1422"/>
      <c r="R34" s="1422">
        <f>+P34-Q34</f>
        <v>1500</v>
      </c>
      <c r="S34" s="1422">
        <v>4790</v>
      </c>
      <c r="T34" s="1422"/>
      <c r="U34" s="1422">
        <f t="shared" si="0"/>
        <v>4790</v>
      </c>
      <c r="V34" s="1422">
        <v>0</v>
      </c>
      <c r="W34" s="1422">
        <v>0</v>
      </c>
      <c r="X34" s="1422">
        <f t="shared" si="1"/>
        <v>0</v>
      </c>
      <c r="Y34" s="1423">
        <f t="shared" si="2"/>
        <v>9740</v>
      </c>
      <c r="Z34" s="1424">
        <f t="shared" si="3"/>
        <v>8331</v>
      </c>
      <c r="AA34" s="1425">
        <f t="shared" si="5"/>
        <v>1409</v>
      </c>
      <c r="AB34" s="1426">
        <f>+AA34/Y34</f>
        <v>0.14466119096509239</v>
      </c>
      <c r="AC34" s="1427" t="s">
        <v>805</v>
      </c>
    </row>
    <row r="35" spans="1:29">
      <c r="A35" s="1416" t="s">
        <v>841</v>
      </c>
      <c r="B35" s="1457" t="s">
        <v>842</v>
      </c>
      <c r="C35" s="1449" t="s">
        <v>840</v>
      </c>
      <c r="D35" s="1419">
        <v>5000</v>
      </c>
      <c r="E35" s="1420"/>
      <c r="F35" s="1420">
        <f t="shared" si="12"/>
        <v>5000</v>
      </c>
      <c r="G35" s="1419"/>
      <c r="H35" s="1419"/>
      <c r="I35" s="1421">
        <f>+G35-H35</f>
        <v>0</v>
      </c>
      <c r="J35" s="1416"/>
      <c r="K35" s="1421">
        <v>3438.94</v>
      </c>
      <c r="L35" s="1420">
        <f>+J35-K35</f>
        <v>-3438.94</v>
      </c>
      <c r="M35" s="1419"/>
      <c r="N35" s="1420">
        <v>0</v>
      </c>
      <c r="O35" s="1422">
        <f>+M35-N35</f>
        <v>0</v>
      </c>
      <c r="P35" s="1422"/>
      <c r="Q35" s="1422"/>
      <c r="R35" s="1422">
        <f>+P35-Q35</f>
        <v>0</v>
      </c>
      <c r="S35" s="1422">
        <v>5000</v>
      </c>
      <c r="T35" s="1422">
        <f>48.95+1091.03</f>
        <v>1139.98</v>
      </c>
      <c r="U35" s="1422">
        <f t="shared" si="0"/>
        <v>3860.02</v>
      </c>
      <c r="V35" s="1422">
        <v>0</v>
      </c>
      <c r="W35" s="1422">
        <v>0</v>
      </c>
      <c r="X35" s="1422">
        <f t="shared" si="1"/>
        <v>0</v>
      </c>
      <c r="Y35" s="1423">
        <f t="shared" si="2"/>
        <v>10000</v>
      </c>
      <c r="Z35" s="1424">
        <f t="shared" si="3"/>
        <v>4578.92</v>
      </c>
      <c r="AA35" s="1425">
        <f t="shared" si="5"/>
        <v>5421.08</v>
      </c>
      <c r="AB35" s="1426">
        <f>+AA35/Y35</f>
        <v>0.54210800000000003</v>
      </c>
      <c r="AC35" s="1431" t="s">
        <v>843</v>
      </c>
    </row>
    <row r="36" spans="1:29">
      <c r="A36" s="1416" t="s">
        <v>844</v>
      </c>
      <c r="B36" s="1417" t="s">
        <v>845</v>
      </c>
      <c r="C36" s="1449" t="s">
        <v>840</v>
      </c>
      <c r="D36" s="1419">
        <v>3610</v>
      </c>
      <c r="E36" s="1420"/>
      <c r="F36" s="1420">
        <f t="shared" si="12"/>
        <v>3610</v>
      </c>
      <c r="G36" s="1416"/>
      <c r="H36" s="1416"/>
      <c r="I36" s="1421">
        <f>+G36-H36</f>
        <v>0</v>
      </c>
      <c r="J36" s="1419"/>
      <c r="K36" s="1420">
        <v>3487.38</v>
      </c>
      <c r="L36" s="1420">
        <f>+J36-K36</f>
        <v>-3487.38</v>
      </c>
      <c r="M36" s="1419"/>
      <c r="N36" s="1420">
        <v>0</v>
      </c>
      <c r="O36" s="1422">
        <f>+M36-N36</f>
        <v>0</v>
      </c>
      <c r="P36" s="1422"/>
      <c r="Q36" s="1422"/>
      <c r="R36" s="1422">
        <f>+P36-Q36</f>
        <v>0</v>
      </c>
      <c r="S36" s="1422"/>
      <c r="T36" s="1422"/>
      <c r="U36" s="1422">
        <f t="shared" si="0"/>
        <v>0</v>
      </c>
      <c r="V36" s="1422">
        <v>0</v>
      </c>
      <c r="W36" s="1422">
        <v>0</v>
      </c>
      <c r="X36" s="1422">
        <f t="shared" si="1"/>
        <v>0</v>
      </c>
      <c r="Y36" s="1423">
        <f t="shared" si="2"/>
        <v>3610</v>
      </c>
      <c r="Z36" s="1424">
        <f t="shared" si="3"/>
        <v>3487.38</v>
      </c>
      <c r="AA36" s="1425">
        <f t="shared" si="5"/>
        <v>122.61999999999989</v>
      </c>
      <c r="AB36" s="1426">
        <f>+AA36/Y36</f>
        <v>3.3966759002770054E-2</v>
      </c>
      <c r="AC36" s="1431" t="s">
        <v>846</v>
      </c>
    </row>
    <row r="37" spans="1:29" ht="24">
      <c r="A37" s="1416" t="s">
        <v>847</v>
      </c>
      <c r="B37" s="1417" t="s">
        <v>848</v>
      </c>
      <c r="C37" s="1449" t="s">
        <v>840</v>
      </c>
      <c r="D37" s="1418"/>
      <c r="E37" s="1421">
        <v>7993.05</v>
      </c>
      <c r="F37" s="1420">
        <f t="shared" si="12"/>
        <v>-7993.05</v>
      </c>
      <c r="G37" s="1419">
        <v>2225</v>
      </c>
      <c r="H37" s="1419"/>
      <c r="I37" s="1421">
        <f>+G37-H37</f>
        <v>2225</v>
      </c>
      <c r="J37" s="1419"/>
      <c r="K37" s="1420"/>
      <c r="L37" s="1420">
        <f>+J37-K37</f>
        <v>0</v>
      </c>
      <c r="M37" s="1416"/>
      <c r="N37" s="1421">
        <v>2225</v>
      </c>
      <c r="O37" s="1422">
        <f>+M37-N37</f>
        <v>-2225</v>
      </c>
      <c r="P37" s="1422">
        <v>6340</v>
      </c>
      <c r="Q37" s="1422"/>
      <c r="R37" s="1422">
        <f>+P37-Q37</f>
        <v>6340</v>
      </c>
      <c r="S37" s="1422"/>
      <c r="T37" s="1422"/>
      <c r="U37" s="1422">
        <f t="shared" si="0"/>
        <v>0</v>
      </c>
      <c r="V37" s="1422">
        <v>0</v>
      </c>
      <c r="W37" s="1422">
        <v>0</v>
      </c>
      <c r="X37" s="1422">
        <f t="shared" ref="X37:X68" si="16">+V37-W37</f>
        <v>0</v>
      </c>
      <c r="Y37" s="1423">
        <f t="shared" ref="Y37:Y68" si="17">+J37+G37+D37+M37+P37+S37+V37</f>
        <v>8565</v>
      </c>
      <c r="Z37" s="1424">
        <f t="shared" ref="Z37:Z68" si="18">+N37+K37+H37+E37+Q37+T37+W37</f>
        <v>10218.049999999999</v>
      </c>
      <c r="AA37" s="1425">
        <f t="shared" si="5"/>
        <v>-1653.0499999999993</v>
      </c>
      <c r="AB37" s="1426">
        <f>+AA37/Y37</f>
        <v>-0.19300058377116161</v>
      </c>
      <c r="AC37" s="1427" t="s">
        <v>805</v>
      </c>
    </row>
    <row r="38" spans="1:29">
      <c r="A38" s="1458"/>
      <c r="B38" s="1459" t="s">
        <v>849</v>
      </c>
      <c r="C38" s="1449"/>
      <c r="D38" s="1418"/>
      <c r="E38" s="1421"/>
      <c r="F38" s="1420"/>
      <c r="G38" s="1419"/>
      <c r="H38" s="1419"/>
      <c r="I38" s="1421"/>
      <c r="J38" s="1419"/>
      <c r="K38" s="1420"/>
      <c r="L38" s="1420"/>
      <c r="M38" s="1416"/>
      <c r="N38" s="1421"/>
      <c r="O38" s="1422"/>
      <c r="P38" s="1422"/>
      <c r="Q38" s="1422"/>
      <c r="R38" s="1422"/>
      <c r="S38" s="1422"/>
      <c r="T38" s="1422"/>
      <c r="U38" s="1422"/>
      <c r="V38" s="1422">
        <v>6340</v>
      </c>
      <c r="W38" s="1422">
        <v>0</v>
      </c>
      <c r="X38" s="1422">
        <f t="shared" si="16"/>
        <v>6340</v>
      </c>
      <c r="Y38" s="1423">
        <f t="shared" si="17"/>
        <v>6340</v>
      </c>
      <c r="Z38" s="1424">
        <f t="shared" si="18"/>
        <v>0</v>
      </c>
      <c r="AA38" s="1425">
        <f t="shared" si="5"/>
        <v>6340</v>
      </c>
      <c r="AB38" s="1426"/>
      <c r="AC38" s="1427"/>
    </row>
    <row r="39" spans="1:29" ht="12.6" customHeight="1">
      <c r="A39" s="2760" t="s">
        <v>850</v>
      </c>
      <c r="B39" s="2761"/>
      <c r="C39" s="1416"/>
      <c r="D39" s="1434"/>
      <c r="E39" s="1435"/>
      <c r="F39" s="1420"/>
      <c r="G39" s="1434"/>
      <c r="H39" s="1434"/>
      <c r="I39" s="1416"/>
      <c r="J39" s="1434"/>
      <c r="K39" s="1435"/>
      <c r="L39" s="1420"/>
      <c r="M39" s="1434"/>
      <c r="N39" s="1435"/>
      <c r="O39" s="1422"/>
      <c r="P39" s="1422"/>
      <c r="Q39" s="1422"/>
      <c r="R39" s="1422"/>
      <c r="S39" s="1422"/>
      <c r="T39" s="1422"/>
      <c r="U39" s="1422">
        <f t="shared" ref="U39:U64" si="19">+S39-T39</f>
        <v>0</v>
      </c>
      <c r="V39" s="1422"/>
      <c r="W39" s="1422">
        <v>0</v>
      </c>
      <c r="X39" s="1422">
        <f t="shared" si="16"/>
        <v>0</v>
      </c>
      <c r="Y39" s="1423">
        <f t="shared" si="17"/>
        <v>0</v>
      </c>
      <c r="Z39" s="1424">
        <f t="shared" si="18"/>
        <v>0</v>
      </c>
      <c r="AA39" s="1425">
        <f t="shared" si="5"/>
        <v>0</v>
      </c>
      <c r="AB39" s="1426">
        <v>0</v>
      </c>
      <c r="AC39" s="1431"/>
    </row>
    <row r="40" spans="1:29">
      <c r="A40" s="1416" t="s">
        <v>851</v>
      </c>
      <c r="B40" s="1440" t="s">
        <v>852</v>
      </c>
      <c r="C40" s="1416" t="s">
        <v>853</v>
      </c>
      <c r="D40" s="1419"/>
      <c r="E40" s="1420">
        <v>153.56</v>
      </c>
      <c r="F40" s="1420">
        <f>+D40-E40</f>
        <v>-153.56</v>
      </c>
      <c r="G40" s="1419"/>
      <c r="H40" s="1419">
        <v>144.77000000000001</v>
      </c>
      <c r="I40" s="1421">
        <f>+G40-H40</f>
        <v>-144.77000000000001</v>
      </c>
      <c r="J40" s="1419">
        <v>6780</v>
      </c>
      <c r="K40" s="1420">
        <v>5283.74</v>
      </c>
      <c r="L40" s="1420">
        <f>+J40-K40</f>
        <v>1496.2600000000002</v>
      </c>
      <c r="M40" s="1419"/>
      <c r="N40" s="1420">
        <v>1824.4223363286264</v>
      </c>
      <c r="O40" s="1422">
        <f>+M40-N40</f>
        <v>-1824.4223363286264</v>
      </c>
      <c r="P40" s="1422"/>
      <c r="Q40" s="1422"/>
      <c r="R40" s="1422"/>
      <c r="S40" s="1422">
        <v>7389</v>
      </c>
      <c r="T40" s="1422">
        <v>7493.94</v>
      </c>
      <c r="U40" s="1422">
        <f t="shared" si="19"/>
        <v>-104.9399999999996</v>
      </c>
      <c r="V40" s="1422">
        <v>7389</v>
      </c>
      <c r="W40" s="1422">
        <v>0</v>
      </c>
      <c r="X40" s="1422">
        <f t="shared" si="16"/>
        <v>7389</v>
      </c>
      <c r="Y40" s="1423">
        <f t="shared" si="17"/>
        <v>21558</v>
      </c>
      <c r="Z40" s="1424">
        <f t="shared" si="18"/>
        <v>14900.432336328628</v>
      </c>
      <c r="AA40" s="1425">
        <f t="shared" si="5"/>
        <v>6657.5676636713724</v>
      </c>
      <c r="AB40" s="1426">
        <f>+AA40/Y40</f>
        <v>0.30882121085774988</v>
      </c>
      <c r="AC40" s="1431" t="s">
        <v>1070</v>
      </c>
    </row>
    <row r="41" spans="1:29" ht="24">
      <c r="A41" s="1416" t="s">
        <v>854</v>
      </c>
      <c r="B41" s="1440" t="s">
        <v>855</v>
      </c>
      <c r="C41" s="1416" t="s">
        <v>853</v>
      </c>
      <c r="D41" s="1419">
        <v>474</v>
      </c>
      <c r="E41" s="1420">
        <v>1247.73</v>
      </c>
      <c r="F41" s="1420">
        <f>+D41-E41</f>
        <v>-773.73</v>
      </c>
      <c r="G41" s="1419">
        <v>474</v>
      </c>
      <c r="H41" s="1419">
        <v>1554.76</v>
      </c>
      <c r="I41" s="1421">
        <f>+G41-H41</f>
        <v>-1080.76</v>
      </c>
      <c r="J41" s="1419">
        <v>474</v>
      </c>
      <c r="K41" s="1420">
        <v>966.04</v>
      </c>
      <c r="L41" s="1420">
        <f>+J41-K41</f>
        <v>-492.03999999999996</v>
      </c>
      <c r="M41" s="1419">
        <v>474</v>
      </c>
      <c r="N41" s="1420">
        <v>328.00599058622163</v>
      </c>
      <c r="O41" s="1422">
        <f>+M41-N41</f>
        <v>145.99400941377837</v>
      </c>
      <c r="P41" s="1422">
        <v>474</v>
      </c>
      <c r="Q41" s="1422">
        <v>652.4</v>
      </c>
      <c r="R41" s="1422">
        <f>+P41-Q41</f>
        <v>-178.39999999999998</v>
      </c>
      <c r="S41" s="1422">
        <v>474</v>
      </c>
      <c r="T41" s="1422">
        <f>183.84+429.12</f>
        <v>612.96</v>
      </c>
      <c r="U41" s="1422">
        <f t="shared" si="19"/>
        <v>-138.96000000000004</v>
      </c>
      <c r="V41" s="1422">
        <v>474</v>
      </c>
      <c r="W41" s="1422">
        <v>848.68856072294477</v>
      </c>
      <c r="X41" s="1422">
        <f t="shared" si="16"/>
        <v>-374.68856072294477</v>
      </c>
      <c r="Y41" s="1423">
        <f t="shared" si="17"/>
        <v>3318</v>
      </c>
      <c r="Z41" s="1424">
        <f t="shared" si="18"/>
        <v>6210.5845513091672</v>
      </c>
      <c r="AA41" s="1425">
        <f t="shared" si="5"/>
        <v>-2892.5845513091672</v>
      </c>
      <c r="AB41" s="1426">
        <f>+AA41/Y41</f>
        <v>-0.87178557905640963</v>
      </c>
      <c r="AC41" s="1427" t="s">
        <v>805</v>
      </c>
    </row>
    <row r="42" spans="1:29">
      <c r="A42" s="1416" t="s">
        <v>856</v>
      </c>
      <c r="B42" s="1417" t="s">
        <v>857</v>
      </c>
      <c r="C42" s="1416" t="s">
        <v>853</v>
      </c>
      <c r="D42" s="1419"/>
      <c r="E42" s="1420"/>
      <c r="F42" s="1420">
        <f>+D42-E42</f>
        <v>0</v>
      </c>
      <c r="G42" s="1419"/>
      <c r="H42" s="1419"/>
      <c r="I42" s="1421">
        <f>+G42-H42</f>
        <v>0</v>
      </c>
      <c r="J42" s="1419">
        <v>8680</v>
      </c>
      <c r="K42" s="1420"/>
      <c r="L42" s="1420">
        <f>+J42-K42</f>
        <v>8680</v>
      </c>
      <c r="M42" s="1419"/>
      <c r="N42" s="1420">
        <v>8680</v>
      </c>
      <c r="O42" s="1422">
        <f>+M42-N42</f>
        <v>-8680</v>
      </c>
      <c r="P42" s="1422"/>
      <c r="Q42" s="1422"/>
      <c r="R42" s="1422">
        <f>+P42-Q42</f>
        <v>0</v>
      </c>
      <c r="S42" s="1422"/>
      <c r="T42" s="1422"/>
      <c r="U42" s="1422">
        <f t="shared" si="19"/>
        <v>0</v>
      </c>
      <c r="V42" s="1422">
        <v>0</v>
      </c>
      <c r="W42" s="1422">
        <v>0</v>
      </c>
      <c r="X42" s="1422">
        <f t="shared" si="16"/>
        <v>0</v>
      </c>
      <c r="Y42" s="1423">
        <f t="shared" si="17"/>
        <v>8680</v>
      </c>
      <c r="Z42" s="1424">
        <f t="shared" si="18"/>
        <v>8680</v>
      </c>
      <c r="AA42" s="1425">
        <f t="shared" si="5"/>
        <v>0</v>
      </c>
      <c r="AB42" s="1426">
        <f>+AA42/Y42</f>
        <v>0</v>
      </c>
      <c r="AC42" s="1431"/>
    </row>
    <row r="43" spans="1:29" ht="24">
      <c r="A43" s="1416" t="s">
        <v>854</v>
      </c>
      <c r="B43" s="1417" t="s">
        <v>858</v>
      </c>
      <c r="C43" s="1416" t="s">
        <v>853</v>
      </c>
      <c r="D43" s="1419"/>
      <c r="E43" s="1420">
        <v>1240.42</v>
      </c>
      <c r="F43" s="1420">
        <f>+D43-E43</f>
        <v>-1240.42</v>
      </c>
      <c r="G43" s="1419"/>
      <c r="H43" s="1419"/>
      <c r="I43" s="1421">
        <f>+G43-H43</f>
        <v>0</v>
      </c>
      <c r="J43" s="1419"/>
      <c r="K43" s="1420"/>
      <c r="L43" s="1420">
        <f>+J43-K43</f>
        <v>0</v>
      </c>
      <c r="M43" s="1419"/>
      <c r="N43" s="1448"/>
      <c r="O43" s="1422">
        <f>+M43-N43</f>
        <v>0</v>
      </c>
      <c r="P43" s="1422"/>
      <c r="Q43" s="1422"/>
      <c r="R43" s="1422">
        <f>+P43-Q43</f>
        <v>0</v>
      </c>
      <c r="S43" s="1422"/>
      <c r="T43" s="1422"/>
      <c r="U43" s="1422">
        <f t="shared" si="19"/>
        <v>0</v>
      </c>
      <c r="V43" s="1422">
        <v>0</v>
      </c>
      <c r="W43" s="1422">
        <v>0</v>
      </c>
      <c r="X43" s="1422">
        <f t="shared" si="16"/>
        <v>0</v>
      </c>
      <c r="Y43" s="1423">
        <f t="shared" si="17"/>
        <v>0</v>
      </c>
      <c r="Z43" s="1424">
        <f t="shared" si="18"/>
        <v>1240.42</v>
      </c>
      <c r="AA43" s="1425">
        <f t="shared" si="5"/>
        <v>-1240.42</v>
      </c>
      <c r="AB43" s="1426">
        <v>0</v>
      </c>
      <c r="AC43" s="1427" t="s">
        <v>805</v>
      </c>
    </row>
    <row r="44" spans="1:29" ht="24">
      <c r="A44" s="1416" t="s">
        <v>859</v>
      </c>
      <c r="B44" s="1417" t="s">
        <v>860</v>
      </c>
      <c r="C44" s="1416" t="s">
        <v>853</v>
      </c>
      <c r="D44" s="1419"/>
      <c r="E44" s="1420">
        <v>5495.74</v>
      </c>
      <c r="F44" s="1420">
        <f>+D44-E44</f>
        <v>-5495.74</v>
      </c>
      <c r="G44" s="1419"/>
      <c r="H44" s="1419"/>
      <c r="I44" s="1421">
        <f>+G44-H44</f>
        <v>0</v>
      </c>
      <c r="J44" s="1419"/>
      <c r="K44" s="1420"/>
      <c r="L44" s="1420">
        <f>+J44-K44</f>
        <v>0</v>
      </c>
      <c r="M44" s="1419"/>
      <c r="N44" s="1448"/>
      <c r="O44" s="1422">
        <f>+M44-N44</f>
        <v>0</v>
      </c>
      <c r="P44" s="1422"/>
      <c r="Q44" s="1422"/>
      <c r="R44" s="1422">
        <f>+P44-Q44</f>
        <v>0</v>
      </c>
      <c r="S44" s="1422"/>
      <c r="T44" s="1422"/>
      <c r="U44" s="1422">
        <f t="shared" si="19"/>
        <v>0</v>
      </c>
      <c r="V44" s="1422">
        <v>0</v>
      </c>
      <c r="W44" s="1422">
        <v>0</v>
      </c>
      <c r="X44" s="1422">
        <f t="shared" si="16"/>
        <v>0</v>
      </c>
      <c r="Y44" s="1423">
        <f t="shared" si="17"/>
        <v>0</v>
      </c>
      <c r="Z44" s="1424">
        <f t="shared" si="18"/>
        <v>5495.74</v>
      </c>
      <c r="AA44" s="1425">
        <f t="shared" si="5"/>
        <v>-5495.74</v>
      </c>
      <c r="AB44" s="1426">
        <v>0</v>
      </c>
      <c r="AC44" s="1427" t="s">
        <v>805</v>
      </c>
    </row>
    <row r="45" spans="1:29" ht="32.1" customHeight="1">
      <c r="A45" s="2760" t="s">
        <v>861</v>
      </c>
      <c r="B45" s="2761"/>
      <c r="C45" s="1416"/>
      <c r="D45" s="1434"/>
      <c r="E45" s="1435"/>
      <c r="F45" s="1420"/>
      <c r="G45" s="1434"/>
      <c r="H45" s="1434"/>
      <c r="I45" s="1421"/>
      <c r="J45" s="1434"/>
      <c r="K45" s="1435"/>
      <c r="L45" s="1420"/>
      <c r="M45" s="1434"/>
      <c r="N45" s="1435"/>
      <c r="O45" s="1422"/>
      <c r="P45" s="1422"/>
      <c r="Q45" s="1422"/>
      <c r="R45" s="1422"/>
      <c r="S45" s="1422"/>
      <c r="T45" s="1422"/>
      <c r="U45" s="1422">
        <f t="shared" si="19"/>
        <v>0</v>
      </c>
      <c r="V45" s="1422">
        <v>0</v>
      </c>
      <c r="W45" s="1422">
        <v>0</v>
      </c>
      <c r="X45" s="1422">
        <f t="shared" si="16"/>
        <v>0</v>
      </c>
      <c r="Y45" s="1423">
        <f t="shared" si="17"/>
        <v>0</v>
      </c>
      <c r="Z45" s="1424">
        <f t="shared" si="18"/>
        <v>0</v>
      </c>
      <c r="AA45" s="1425">
        <f t="shared" si="5"/>
        <v>0</v>
      </c>
      <c r="AB45" s="1426">
        <v>0</v>
      </c>
      <c r="AC45" s="1431"/>
    </row>
    <row r="46" spans="1:29">
      <c r="A46" s="1416" t="s">
        <v>862</v>
      </c>
      <c r="B46" s="1417" t="s">
        <v>863</v>
      </c>
      <c r="C46" s="1416" t="s">
        <v>864</v>
      </c>
      <c r="D46" s="1419">
        <v>3000</v>
      </c>
      <c r="E46" s="1420">
        <v>819.85</v>
      </c>
      <c r="F46" s="1420">
        <f t="shared" ref="F46:F53" si="20">+D46-E46</f>
        <v>2180.15</v>
      </c>
      <c r="G46" s="1416"/>
      <c r="H46" s="1416"/>
      <c r="I46" s="1421">
        <f t="shared" ref="I46:I53" si="21">+G46-H46</f>
        <v>0</v>
      </c>
      <c r="J46" s="1419"/>
      <c r="K46" s="1420"/>
      <c r="L46" s="1420">
        <f t="shared" ref="L46:L53" si="22">+J46-K46</f>
        <v>0</v>
      </c>
      <c r="M46" s="1419"/>
      <c r="N46" s="1420">
        <v>1000</v>
      </c>
      <c r="O46" s="1422">
        <f t="shared" ref="O46:O53" si="23">+M46-N46</f>
        <v>-1000</v>
      </c>
      <c r="P46" s="1422"/>
      <c r="Q46" s="1422">
        <v>2703.29</v>
      </c>
      <c r="R46" s="1422">
        <f t="shared" ref="R46:R53" si="24">+P46-Q46</f>
        <v>-2703.29</v>
      </c>
      <c r="S46" s="1438"/>
      <c r="T46" s="1422"/>
      <c r="U46" s="1422">
        <f t="shared" si="19"/>
        <v>0</v>
      </c>
      <c r="V46" s="1422">
        <v>0</v>
      </c>
      <c r="W46" s="1422">
        <v>490.9191095437514</v>
      </c>
      <c r="X46" s="1422">
        <f t="shared" si="16"/>
        <v>-490.9191095437514</v>
      </c>
      <c r="Y46" s="1423">
        <f t="shared" si="17"/>
        <v>3000</v>
      </c>
      <c r="Z46" s="1424">
        <f t="shared" si="18"/>
        <v>5014.0591095437512</v>
      </c>
      <c r="AA46" s="1425">
        <f t="shared" si="5"/>
        <v>-2014.0591095437512</v>
      </c>
      <c r="AB46" s="1426">
        <f t="shared" ref="AB46:AB52" si="25">+AA46/Y46</f>
        <v>-0.67135303651458378</v>
      </c>
      <c r="AC46" s="1431" t="s">
        <v>865</v>
      </c>
    </row>
    <row r="47" spans="1:29">
      <c r="A47" s="1416" t="s">
        <v>866</v>
      </c>
      <c r="B47" s="1440" t="s">
        <v>867</v>
      </c>
      <c r="C47" s="1416" t="s">
        <v>864</v>
      </c>
      <c r="D47" s="1419">
        <v>4820</v>
      </c>
      <c r="E47" s="1420"/>
      <c r="F47" s="1420">
        <f t="shared" si="20"/>
        <v>4820</v>
      </c>
      <c r="G47" s="1419"/>
      <c r="H47" s="1419"/>
      <c r="I47" s="1421">
        <f t="shared" si="21"/>
        <v>0</v>
      </c>
      <c r="J47" s="1416"/>
      <c r="K47" s="1421"/>
      <c r="L47" s="1420">
        <f t="shared" si="22"/>
        <v>0</v>
      </c>
      <c r="M47" s="1419"/>
      <c r="N47" s="1420">
        <v>4818.1429182712882</v>
      </c>
      <c r="O47" s="1422">
        <f t="shared" si="23"/>
        <v>-4818.1429182712882</v>
      </c>
      <c r="P47" s="1422">
        <v>4820</v>
      </c>
      <c r="Q47" s="1422"/>
      <c r="R47" s="1422">
        <f t="shared" si="24"/>
        <v>4820</v>
      </c>
      <c r="S47" s="1422"/>
      <c r="T47" s="1422">
        <v>7590.92</v>
      </c>
      <c r="U47" s="1422">
        <f t="shared" si="19"/>
        <v>-7590.92</v>
      </c>
      <c r="V47" s="1422">
        <v>0</v>
      </c>
      <c r="W47" s="1422">
        <v>0</v>
      </c>
      <c r="X47" s="1422">
        <f t="shared" si="16"/>
        <v>0</v>
      </c>
      <c r="Y47" s="1423">
        <f t="shared" si="17"/>
        <v>9640</v>
      </c>
      <c r="Z47" s="1424">
        <f t="shared" si="18"/>
        <v>12409.062918271287</v>
      </c>
      <c r="AA47" s="1425">
        <f t="shared" si="5"/>
        <v>-2769.0629182712873</v>
      </c>
      <c r="AB47" s="1426">
        <f t="shared" si="25"/>
        <v>-0.28724719069204224</v>
      </c>
      <c r="AC47" s="1431" t="s">
        <v>1071</v>
      </c>
    </row>
    <row r="48" spans="1:29">
      <c r="A48" s="1416" t="s">
        <v>868</v>
      </c>
      <c r="B48" s="1417" t="s">
        <v>869</v>
      </c>
      <c r="C48" s="1416" t="s">
        <v>864</v>
      </c>
      <c r="D48" s="1416"/>
      <c r="E48" s="1421"/>
      <c r="F48" s="1420">
        <f t="shared" si="20"/>
        <v>0</v>
      </c>
      <c r="G48" s="1419">
        <v>2517.5</v>
      </c>
      <c r="H48" s="1419"/>
      <c r="I48" s="1421">
        <f t="shared" si="21"/>
        <v>2517.5</v>
      </c>
      <c r="J48" s="1419">
        <v>2518</v>
      </c>
      <c r="K48" s="1420"/>
      <c r="L48" s="1420">
        <f t="shared" si="22"/>
        <v>2518</v>
      </c>
      <c r="M48" s="1419"/>
      <c r="N48" s="1420">
        <v>5358.3654257595208</v>
      </c>
      <c r="O48" s="1422">
        <f t="shared" si="23"/>
        <v>-5358.3654257595208</v>
      </c>
      <c r="P48" s="1422">
        <v>3085</v>
      </c>
      <c r="Q48" s="1422"/>
      <c r="R48" s="1422">
        <f t="shared" si="24"/>
        <v>3085</v>
      </c>
      <c r="S48" s="1422">
        <v>3085</v>
      </c>
      <c r="T48" s="1422"/>
      <c r="U48" s="1422">
        <f t="shared" si="19"/>
        <v>3085</v>
      </c>
      <c r="V48" s="1422">
        <v>6170</v>
      </c>
      <c r="W48" s="1422">
        <v>4408.1992506061279</v>
      </c>
      <c r="X48" s="1422">
        <f t="shared" si="16"/>
        <v>1761.8007493938721</v>
      </c>
      <c r="Y48" s="1423">
        <f t="shared" si="17"/>
        <v>17375.5</v>
      </c>
      <c r="Z48" s="1424">
        <f t="shared" si="18"/>
        <v>9766.5646763656478</v>
      </c>
      <c r="AA48" s="1425">
        <f t="shared" si="5"/>
        <v>7608.9353236343522</v>
      </c>
      <c r="AB48" s="1426">
        <f t="shared" si="25"/>
        <v>0.43791173339669953</v>
      </c>
      <c r="AC48" s="1431" t="s">
        <v>870</v>
      </c>
    </row>
    <row r="49" spans="1:29">
      <c r="A49" s="1416" t="s">
        <v>871</v>
      </c>
      <c r="B49" s="1417" t="s">
        <v>872</v>
      </c>
      <c r="C49" s="1416" t="s">
        <v>864</v>
      </c>
      <c r="D49" s="1419">
        <v>2517.5</v>
      </c>
      <c r="E49" s="1420"/>
      <c r="F49" s="1420">
        <f t="shared" si="20"/>
        <v>2517.5</v>
      </c>
      <c r="G49" s="1419">
        <v>2517.5</v>
      </c>
      <c r="H49" s="1419"/>
      <c r="I49" s="1421">
        <f t="shared" si="21"/>
        <v>2517.5</v>
      </c>
      <c r="J49" s="1416"/>
      <c r="K49" s="1421"/>
      <c r="L49" s="1420">
        <f t="shared" si="22"/>
        <v>0</v>
      </c>
      <c r="M49" s="1416"/>
      <c r="N49" s="1421">
        <v>2503.2092426187419</v>
      </c>
      <c r="O49" s="1422">
        <f t="shared" si="23"/>
        <v>-2503.2092426187419</v>
      </c>
      <c r="P49" s="1422"/>
      <c r="Q49" s="1422"/>
      <c r="R49" s="1422">
        <f t="shared" si="24"/>
        <v>0</v>
      </c>
      <c r="S49" s="1438"/>
      <c r="T49" s="1422"/>
      <c r="U49" s="1422">
        <f t="shared" si="19"/>
        <v>0</v>
      </c>
      <c r="V49" s="1422">
        <v>0</v>
      </c>
      <c r="W49" s="1422">
        <v>0</v>
      </c>
      <c r="X49" s="1422">
        <f t="shared" si="16"/>
        <v>0</v>
      </c>
      <c r="Y49" s="1423">
        <f t="shared" si="17"/>
        <v>5035</v>
      </c>
      <c r="Z49" s="1424">
        <f t="shared" si="18"/>
        <v>2503.2092426187419</v>
      </c>
      <c r="AA49" s="1425">
        <f t="shared" si="5"/>
        <v>2531.7907573812581</v>
      </c>
      <c r="AB49" s="1426">
        <f t="shared" si="25"/>
        <v>0.50283828349180892</v>
      </c>
      <c r="AC49" s="1431" t="s">
        <v>870</v>
      </c>
    </row>
    <row r="50" spans="1:29">
      <c r="A50" s="1416" t="s">
        <v>873</v>
      </c>
      <c r="B50" s="1417" t="s">
        <v>874</v>
      </c>
      <c r="C50" s="1416" t="s">
        <v>864</v>
      </c>
      <c r="D50" s="1419"/>
      <c r="E50" s="1420"/>
      <c r="F50" s="1420">
        <f t="shared" si="20"/>
        <v>0</v>
      </c>
      <c r="G50" s="1419"/>
      <c r="H50" s="1419"/>
      <c r="I50" s="1421">
        <f t="shared" si="21"/>
        <v>0</v>
      </c>
      <c r="J50" s="1419">
        <v>3600</v>
      </c>
      <c r="K50" s="1420"/>
      <c r="L50" s="1420">
        <f t="shared" si="22"/>
        <v>3600</v>
      </c>
      <c r="M50" s="1416"/>
      <c r="N50" s="1421">
        <v>3598.6307231493365</v>
      </c>
      <c r="O50" s="1422">
        <f t="shared" si="23"/>
        <v>-3598.6307231493365</v>
      </c>
      <c r="P50" s="1422"/>
      <c r="Q50" s="1422"/>
      <c r="R50" s="1422">
        <f t="shared" si="24"/>
        <v>0</v>
      </c>
      <c r="S50" s="1422"/>
      <c r="T50" s="1422"/>
      <c r="U50" s="1422">
        <f t="shared" si="19"/>
        <v>0</v>
      </c>
      <c r="V50" s="1422">
        <v>0</v>
      </c>
      <c r="W50" s="1422">
        <v>0</v>
      </c>
      <c r="X50" s="1422">
        <f t="shared" si="16"/>
        <v>0</v>
      </c>
      <c r="Y50" s="1423">
        <f t="shared" si="17"/>
        <v>3600</v>
      </c>
      <c r="Z50" s="1424">
        <f t="shared" si="18"/>
        <v>3598.6307231493365</v>
      </c>
      <c r="AA50" s="1425">
        <f t="shared" si="5"/>
        <v>1.369276850663482</v>
      </c>
      <c r="AB50" s="1426">
        <f t="shared" si="25"/>
        <v>3.803546807398561E-4</v>
      </c>
      <c r="AC50" s="1431"/>
    </row>
    <row r="51" spans="1:29" ht="24">
      <c r="A51" s="1416" t="s">
        <v>875</v>
      </c>
      <c r="B51" s="1417" t="s">
        <v>876</v>
      </c>
      <c r="C51" s="1416" t="s">
        <v>864</v>
      </c>
      <c r="D51" s="1419"/>
      <c r="E51" s="1420"/>
      <c r="F51" s="1420">
        <f t="shared" si="20"/>
        <v>0</v>
      </c>
      <c r="G51" s="1419">
        <v>5095</v>
      </c>
      <c r="H51" s="1419"/>
      <c r="I51" s="1421">
        <f t="shared" si="21"/>
        <v>5095</v>
      </c>
      <c r="J51" s="1419"/>
      <c r="K51" s="1420"/>
      <c r="L51" s="1420">
        <f t="shared" si="22"/>
        <v>0</v>
      </c>
      <c r="M51" s="1419"/>
      <c r="N51" s="1420">
        <v>5990.5862216516898</v>
      </c>
      <c r="O51" s="1422">
        <f t="shared" si="23"/>
        <v>-5990.5862216516898</v>
      </c>
      <c r="P51" s="1422"/>
      <c r="Q51" s="1422"/>
      <c r="R51" s="1422">
        <f t="shared" si="24"/>
        <v>0</v>
      </c>
      <c r="S51" s="1422">
        <v>11500</v>
      </c>
      <c r="T51" s="1422">
        <f>8256.95+52.9</f>
        <v>8309.85</v>
      </c>
      <c r="U51" s="1422">
        <f t="shared" si="19"/>
        <v>3190.1499999999996</v>
      </c>
      <c r="V51" s="1422">
        <v>0</v>
      </c>
      <c r="W51" s="1422">
        <v>2522.3275292043204</v>
      </c>
      <c r="X51" s="1422">
        <f t="shared" si="16"/>
        <v>-2522.3275292043204</v>
      </c>
      <c r="Y51" s="1423">
        <f t="shared" si="17"/>
        <v>16595</v>
      </c>
      <c r="Z51" s="1424">
        <f t="shared" si="18"/>
        <v>16822.763750856011</v>
      </c>
      <c r="AA51" s="1425">
        <f t="shared" si="5"/>
        <v>-227.76375085601103</v>
      </c>
      <c r="AB51" s="1426">
        <f t="shared" si="25"/>
        <v>-1.3724841871407715E-2</v>
      </c>
      <c r="AC51" s="1427" t="s">
        <v>877</v>
      </c>
    </row>
    <row r="52" spans="1:29">
      <c r="A52" s="1416" t="s">
        <v>878</v>
      </c>
      <c r="B52" s="1417" t="s">
        <v>879</v>
      </c>
      <c r="C52" s="1416" t="s">
        <v>864</v>
      </c>
      <c r="D52" s="1419">
        <v>5000</v>
      </c>
      <c r="E52" s="1420"/>
      <c r="F52" s="1420">
        <f t="shared" si="20"/>
        <v>5000</v>
      </c>
      <c r="G52" s="1419"/>
      <c r="H52" s="1419"/>
      <c r="I52" s="1421">
        <f t="shared" si="21"/>
        <v>0</v>
      </c>
      <c r="J52" s="1419">
        <v>5000</v>
      </c>
      <c r="K52" s="1420"/>
      <c r="L52" s="1420">
        <f t="shared" si="22"/>
        <v>5000</v>
      </c>
      <c r="M52" s="1419"/>
      <c r="N52" s="1420">
        <v>8634.36029097133</v>
      </c>
      <c r="O52" s="1422">
        <f t="shared" si="23"/>
        <v>-8634.36029097133</v>
      </c>
      <c r="P52" s="1422"/>
      <c r="Q52" s="1422"/>
      <c r="R52" s="1422">
        <f t="shared" si="24"/>
        <v>0</v>
      </c>
      <c r="S52" s="1422"/>
      <c r="T52" s="1422"/>
      <c r="U52" s="1422">
        <f t="shared" si="19"/>
        <v>0</v>
      </c>
      <c r="V52" s="1422">
        <v>0</v>
      </c>
      <c r="W52" s="1422">
        <v>0</v>
      </c>
      <c r="X52" s="1422">
        <f t="shared" si="16"/>
        <v>0</v>
      </c>
      <c r="Y52" s="1423">
        <f t="shared" si="17"/>
        <v>10000</v>
      </c>
      <c r="Z52" s="1424">
        <f t="shared" si="18"/>
        <v>8634.36029097133</v>
      </c>
      <c r="AA52" s="1425">
        <f t="shared" si="5"/>
        <v>1365.63970902867</v>
      </c>
      <c r="AB52" s="1426">
        <f t="shared" si="25"/>
        <v>0.13656397090286701</v>
      </c>
      <c r="AC52" s="1431" t="s">
        <v>880</v>
      </c>
    </row>
    <row r="53" spans="1:29">
      <c r="A53" s="1416" t="s">
        <v>881</v>
      </c>
      <c r="B53" s="1417" t="s">
        <v>882</v>
      </c>
      <c r="C53" s="1416" t="s">
        <v>864</v>
      </c>
      <c r="D53" s="1419"/>
      <c r="E53" s="1420">
        <v>787.26</v>
      </c>
      <c r="F53" s="1420">
        <f t="shared" si="20"/>
        <v>-787.26</v>
      </c>
      <c r="G53" s="1419"/>
      <c r="H53" s="1419"/>
      <c r="I53" s="1421">
        <f t="shared" si="21"/>
        <v>0</v>
      </c>
      <c r="J53" s="1419"/>
      <c r="K53" s="1420"/>
      <c r="L53" s="1420">
        <f t="shared" si="22"/>
        <v>0</v>
      </c>
      <c r="M53" s="1419"/>
      <c r="N53" s="1448"/>
      <c r="O53" s="1422">
        <f t="shared" si="23"/>
        <v>0</v>
      </c>
      <c r="P53" s="1422"/>
      <c r="Q53" s="1422"/>
      <c r="R53" s="1422">
        <f t="shared" si="24"/>
        <v>0</v>
      </c>
      <c r="S53" s="1422"/>
      <c r="T53" s="1422"/>
      <c r="U53" s="1422">
        <f t="shared" si="19"/>
        <v>0</v>
      </c>
      <c r="V53" s="1422">
        <v>0</v>
      </c>
      <c r="W53" s="1422">
        <v>0</v>
      </c>
      <c r="X53" s="1422">
        <f t="shared" si="16"/>
        <v>0</v>
      </c>
      <c r="Y53" s="1423">
        <f t="shared" si="17"/>
        <v>0</v>
      </c>
      <c r="Z53" s="1424">
        <f t="shared" si="18"/>
        <v>787.26</v>
      </c>
      <c r="AA53" s="1425">
        <f t="shared" si="5"/>
        <v>-787.26</v>
      </c>
      <c r="AB53" s="1426">
        <v>0</v>
      </c>
      <c r="AC53" s="1427"/>
    </row>
    <row r="54" spans="1:29" ht="12.6" customHeight="1">
      <c r="A54" s="2760" t="s">
        <v>883</v>
      </c>
      <c r="B54" s="2761"/>
      <c r="C54" s="1416"/>
      <c r="D54" s="1434"/>
      <c r="E54" s="1435"/>
      <c r="F54" s="1420"/>
      <c r="G54" s="1434"/>
      <c r="H54" s="1434"/>
      <c r="I54" s="1421"/>
      <c r="J54" s="1434"/>
      <c r="K54" s="1435"/>
      <c r="L54" s="1420"/>
      <c r="M54" s="1434"/>
      <c r="N54" s="1435"/>
      <c r="O54" s="1422"/>
      <c r="P54" s="1422"/>
      <c r="Q54" s="1422"/>
      <c r="R54" s="1422"/>
      <c r="S54" s="1422"/>
      <c r="T54" s="1422"/>
      <c r="U54" s="1422">
        <f t="shared" si="19"/>
        <v>0</v>
      </c>
      <c r="V54" s="1422">
        <v>0</v>
      </c>
      <c r="W54" s="1422">
        <v>0</v>
      </c>
      <c r="X54" s="1422">
        <f t="shared" si="16"/>
        <v>0</v>
      </c>
      <c r="Y54" s="1423">
        <f t="shared" si="17"/>
        <v>0</v>
      </c>
      <c r="Z54" s="1424">
        <f t="shared" si="18"/>
        <v>0</v>
      </c>
      <c r="AA54" s="1425">
        <f t="shared" si="5"/>
        <v>0</v>
      </c>
      <c r="AB54" s="1426">
        <v>0</v>
      </c>
      <c r="AC54" s="1431"/>
    </row>
    <row r="55" spans="1:29">
      <c r="A55" s="1416" t="s">
        <v>884</v>
      </c>
      <c r="B55" s="1417" t="s">
        <v>885</v>
      </c>
      <c r="C55" s="1416" t="s">
        <v>886</v>
      </c>
      <c r="D55" s="1419"/>
      <c r="E55" s="1420"/>
      <c r="F55" s="1420">
        <f>+D55-E55</f>
        <v>0</v>
      </c>
      <c r="G55" s="1419">
        <v>9235</v>
      </c>
      <c r="H55" s="1419"/>
      <c r="I55" s="1421">
        <f>+G55-H55</f>
        <v>9235</v>
      </c>
      <c r="J55" s="1419"/>
      <c r="K55" s="1420"/>
      <c r="L55" s="1420">
        <f>+J55-K55</f>
        <v>0</v>
      </c>
      <c r="M55" s="1419"/>
      <c r="N55" s="1420">
        <v>9092.8540864356</v>
      </c>
      <c r="O55" s="1422">
        <f>+M55-N55</f>
        <v>-9092.8540864356</v>
      </c>
      <c r="P55" s="1422">
        <v>1000</v>
      </c>
      <c r="Q55" s="1422"/>
      <c r="R55" s="1422">
        <f>+P55-Q55</f>
        <v>1000</v>
      </c>
      <c r="S55" s="1422"/>
      <c r="T55" s="1422">
        <v>998.46</v>
      </c>
      <c r="U55" s="1422">
        <f t="shared" si="19"/>
        <v>-998.46</v>
      </c>
      <c r="V55" s="1422">
        <v>0</v>
      </c>
      <c r="W55" s="1422">
        <v>1000</v>
      </c>
      <c r="X55" s="1422">
        <f t="shared" si="16"/>
        <v>-1000</v>
      </c>
      <c r="Y55" s="1423">
        <f t="shared" si="17"/>
        <v>10235</v>
      </c>
      <c r="Z55" s="1424">
        <f t="shared" si="18"/>
        <v>11091.314086435599</v>
      </c>
      <c r="AA55" s="1425">
        <f t="shared" si="5"/>
        <v>-856.31408643559917</v>
      </c>
      <c r="AB55" s="1426">
        <f>+AA55/Y55</f>
        <v>-8.3665274688382918E-2</v>
      </c>
      <c r="AC55" s="1431" t="s">
        <v>846</v>
      </c>
    </row>
    <row r="56" spans="1:29">
      <c r="A56" s="1416" t="s">
        <v>887</v>
      </c>
      <c r="B56" s="1417" t="s">
        <v>888</v>
      </c>
      <c r="C56" s="1416" t="s">
        <v>886</v>
      </c>
      <c r="D56" s="1419">
        <v>2669</v>
      </c>
      <c r="E56" s="1420"/>
      <c r="F56" s="1420">
        <f>+D56-E56</f>
        <v>2669</v>
      </c>
      <c r="G56" s="1416"/>
      <c r="H56" s="1416"/>
      <c r="I56" s="1421">
        <f>+G56-H56</f>
        <v>0</v>
      </c>
      <c r="J56" s="1419"/>
      <c r="K56" s="1420"/>
      <c r="L56" s="1420">
        <f>+J56-K56</f>
        <v>0</v>
      </c>
      <c r="M56" s="1419"/>
      <c r="N56" s="1420">
        <v>2625.160462130937</v>
      </c>
      <c r="O56" s="1422">
        <f>+M56-N56</f>
        <v>-2625.160462130937</v>
      </c>
      <c r="P56" s="1422"/>
      <c r="Q56" s="1422"/>
      <c r="R56" s="1422">
        <f>+P56-Q56</f>
        <v>0</v>
      </c>
      <c r="S56" s="1438"/>
      <c r="T56" s="1422"/>
      <c r="U56" s="1422">
        <f t="shared" si="19"/>
        <v>0</v>
      </c>
      <c r="V56" s="1422">
        <v>0</v>
      </c>
      <c r="W56" s="1422">
        <v>0</v>
      </c>
      <c r="X56" s="1422">
        <f t="shared" si="16"/>
        <v>0</v>
      </c>
      <c r="Y56" s="1423">
        <f t="shared" si="17"/>
        <v>2669</v>
      </c>
      <c r="Z56" s="1424">
        <f t="shared" si="18"/>
        <v>2625.160462130937</v>
      </c>
      <c r="AA56" s="1425">
        <f t="shared" si="5"/>
        <v>43.839537869062951</v>
      </c>
      <c r="AB56" s="1426">
        <f>+AA56/Y56</f>
        <v>1.6425454428273867E-2</v>
      </c>
      <c r="AC56" s="1431" t="s">
        <v>846</v>
      </c>
    </row>
    <row r="57" spans="1:29" ht="13.5">
      <c r="A57" s="1439" t="s">
        <v>887</v>
      </c>
      <c r="B57" s="1429" t="s">
        <v>889</v>
      </c>
      <c r="C57" s="1416"/>
      <c r="D57" s="1419"/>
      <c r="E57" s="1420"/>
      <c r="F57" s="1420"/>
      <c r="G57" s="1416"/>
      <c r="H57" s="1416"/>
      <c r="I57" s="1421"/>
      <c r="J57" s="1419"/>
      <c r="K57" s="1420"/>
      <c r="L57" s="1420"/>
      <c r="M57" s="1419"/>
      <c r="N57" s="1420"/>
      <c r="O57" s="1422"/>
      <c r="P57" s="1422"/>
      <c r="Q57" s="1422"/>
      <c r="R57" s="1422"/>
      <c r="S57" s="1422">
        <v>6160</v>
      </c>
      <c r="T57" s="1422"/>
      <c r="U57" s="1422">
        <f t="shared" si="19"/>
        <v>6160</v>
      </c>
      <c r="V57" s="1422">
        <v>0</v>
      </c>
      <c r="W57" s="1422">
        <v>4439.9823672029979</v>
      </c>
      <c r="X57" s="1422">
        <f t="shared" si="16"/>
        <v>-4439.9823672029979</v>
      </c>
      <c r="Y57" s="1423">
        <f t="shared" si="17"/>
        <v>6160</v>
      </c>
      <c r="Z57" s="1424">
        <f t="shared" si="18"/>
        <v>4439.9823672029979</v>
      </c>
      <c r="AA57" s="1425">
        <f t="shared" si="5"/>
        <v>1720.0176327970021</v>
      </c>
      <c r="AB57" s="1426">
        <f>+AA57/Y57</f>
        <v>0.27922364168782499</v>
      </c>
      <c r="AC57" s="1431" t="s">
        <v>880</v>
      </c>
    </row>
    <row r="58" spans="1:29">
      <c r="A58" s="1416" t="s">
        <v>890</v>
      </c>
      <c r="B58" s="1440" t="s">
        <v>891</v>
      </c>
      <c r="C58" s="1416" t="s">
        <v>886</v>
      </c>
      <c r="D58" s="1419"/>
      <c r="E58" s="1420">
        <v>1132.93</v>
      </c>
      <c r="F58" s="1420">
        <f t="shared" ref="F58:F64" si="26">+D58-E58</f>
        <v>-1132.93</v>
      </c>
      <c r="G58" s="1419"/>
      <c r="H58" s="1419"/>
      <c r="I58" s="1421">
        <f>+G58-H58</f>
        <v>0</v>
      </c>
      <c r="J58" s="1419">
        <v>10900</v>
      </c>
      <c r="K58" s="1420"/>
      <c r="L58" s="1420">
        <f>+J58-K58</f>
        <v>10900</v>
      </c>
      <c r="M58" s="1419"/>
      <c r="N58" s="1420">
        <v>10727.428326914847</v>
      </c>
      <c r="O58" s="1422">
        <f>+M58-N58</f>
        <v>-10727.428326914847</v>
      </c>
      <c r="P58" s="1422"/>
      <c r="Q58" s="1422"/>
      <c r="R58" s="1422">
        <f>+P58-Q58</f>
        <v>0</v>
      </c>
      <c r="S58" s="1422"/>
      <c r="T58" s="1422"/>
      <c r="U58" s="1422">
        <f t="shared" si="19"/>
        <v>0</v>
      </c>
      <c r="V58" s="1422">
        <v>0</v>
      </c>
      <c r="W58" s="1422">
        <v>0</v>
      </c>
      <c r="X58" s="1422">
        <f t="shared" si="16"/>
        <v>0</v>
      </c>
      <c r="Y58" s="1423">
        <f t="shared" si="17"/>
        <v>10900</v>
      </c>
      <c r="Z58" s="1424">
        <f t="shared" si="18"/>
        <v>11860.358326914848</v>
      </c>
      <c r="AA58" s="1425">
        <f t="shared" si="5"/>
        <v>-960.35832691484757</v>
      </c>
      <c r="AB58" s="1426">
        <f>+AA58/Y58</f>
        <v>-8.810626852429794E-2</v>
      </c>
      <c r="AC58" s="1431" t="s">
        <v>846</v>
      </c>
    </row>
    <row r="59" spans="1:29">
      <c r="A59" s="1416" t="s">
        <v>892</v>
      </c>
      <c r="B59" s="1440" t="s">
        <v>893</v>
      </c>
      <c r="C59" s="1416" t="s">
        <v>886</v>
      </c>
      <c r="D59" s="1416"/>
      <c r="E59" s="1421"/>
      <c r="F59" s="1420">
        <f t="shared" si="26"/>
        <v>0</v>
      </c>
      <c r="G59" s="1419"/>
      <c r="H59" s="1419"/>
      <c r="I59" s="1421">
        <f>+G59-H59</f>
        <v>0</v>
      </c>
      <c r="J59" s="1419"/>
      <c r="K59" s="1420"/>
      <c r="L59" s="1420">
        <f>+J59-K59</f>
        <v>0</v>
      </c>
      <c r="M59" s="1419">
        <v>1860</v>
      </c>
      <c r="N59" s="1420">
        <v>1829.2682926829268</v>
      </c>
      <c r="O59" s="1422">
        <f>+M59-N59</f>
        <v>30.731707317073187</v>
      </c>
      <c r="P59" s="1422"/>
      <c r="Q59" s="1422"/>
      <c r="R59" s="1422">
        <f>+P59-Q59</f>
        <v>0</v>
      </c>
      <c r="S59" s="1422"/>
      <c r="T59" s="1422"/>
      <c r="U59" s="1422">
        <f t="shared" si="19"/>
        <v>0</v>
      </c>
      <c r="V59" s="1422">
        <v>2325</v>
      </c>
      <c r="W59" s="1422">
        <v>2339.5415472779373</v>
      </c>
      <c r="X59" s="1422">
        <f t="shared" si="16"/>
        <v>-14.541547277937298</v>
      </c>
      <c r="Y59" s="1423">
        <f t="shared" si="17"/>
        <v>4185</v>
      </c>
      <c r="Z59" s="1424">
        <f t="shared" si="18"/>
        <v>4168.8098399608643</v>
      </c>
      <c r="AA59" s="1425">
        <f t="shared" si="5"/>
        <v>16.190160039135662</v>
      </c>
      <c r="AB59" s="1426">
        <f>+AA59/Y59</f>
        <v>3.8686164968066098E-3</v>
      </c>
      <c r="AC59" s="1431" t="s">
        <v>846</v>
      </c>
    </row>
    <row r="60" spans="1:29" ht="18" customHeight="1">
      <c r="A60" s="2760" t="s">
        <v>894</v>
      </c>
      <c r="B60" s="2761"/>
      <c r="C60" s="1416"/>
      <c r="D60" s="1434"/>
      <c r="E60" s="1435"/>
      <c r="F60" s="1420">
        <f t="shared" si="26"/>
        <v>0</v>
      </c>
      <c r="G60" s="1434"/>
      <c r="H60" s="1434"/>
      <c r="I60" s="1416"/>
      <c r="J60" s="1434"/>
      <c r="K60" s="1435"/>
      <c r="L60" s="1420"/>
      <c r="M60" s="1434"/>
      <c r="N60" s="1435"/>
      <c r="O60" s="1422"/>
      <c r="P60" s="1422"/>
      <c r="Q60" s="1422"/>
      <c r="R60" s="1422"/>
      <c r="S60" s="1422"/>
      <c r="T60" s="1422"/>
      <c r="U60" s="1422">
        <f t="shared" si="19"/>
        <v>0</v>
      </c>
      <c r="V60" s="1422">
        <v>0</v>
      </c>
      <c r="W60" s="1422">
        <v>0</v>
      </c>
      <c r="X60" s="1422">
        <f t="shared" si="16"/>
        <v>0</v>
      </c>
      <c r="Y60" s="1423">
        <f t="shared" si="17"/>
        <v>0</v>
      </c>
      <c r="Z60" s="1424">
        <f t="shared" si="18"/>
        <v>0</v>
      </c>
      <c r="AA60" s="1425">
        <f t="shared" si="5"/>
        <v>0</v>
      </c>
      <c r="AB60" s="1426">
        <v>0</v>
      </c>
      <c r="AC60" s="1431"/>
    </row>
    <row r="61" spans="1:29">
      <c r="A61" s="1416" t="s">
        <v>895</v>
      </c>
      <c r="B61" s="1440" t="s">
        <v>896</v>
      </c>
      <c r="C61" s="1416" t="s">
        <v>853</v>
      </c>
      <c r="D61" s="1419">
        <v>2000</v>
      </c>
      <c r="E61" s="1420">
        <v>1020.81</v>
      </c>
      <c r="F61" s="1420">
        <f t="shared" si="26"/>
        <v>979.19</v>
      </c>
      <c r="G61" s="1419">
        <v>6000</v>
      </c>
      <c r="H61" s="1419">
        <v>127.85</v>
      </c>
      <c r="I61" s="1421">
        <f>+G61-H61</f>
        <v>5872.15</v>
      </c>
      <c r="J61" s="1416"/>
      <c r="K61" s="1421">
        <v>106.97</v>
      </c>
      <c r="L61" s="1420">
        <f>+J61-K61</f>
        <v>-106.97</v>
      </c>
      <c r="M61" s="1419"/>
      <c r="N61" s="1420">
        <v>5546.4484381685916</v>
      </c>
      <c r="O61" s="1422">
        <f>+M61-N61</f>
        <v>-5546.4484381685916</v>
      </c>
      <c r="P61" s="1422"/>
      <c r="Q61" s="1422">
        <v>113.41</v>
      </c>
      <c r="R61" s="1422">
        <f>+P61-Q61</f>
        <v>-113.41</v>
      </c>
      <c r="S61" s="1422">
        <v>22500</v>
      </c>
      <c r="T61" s="1422">
        <f>888.27</f>
        <v>888.27</v>
      </c>
      <c r="U61" s="1422">
        <f t="shared" si="19"/>
        <v>21611.73</v>
      </c>
      <c r="V61" s="1422">
        <v>0</v>
      </c>
      <c r="W61" s="1422">
        <v>10578.399823672031</v>
      </c>
      <c r="X61" s="1422">
        <f t="shared" si="16"/>
        <v>-10578.399823672031</v>
      </c>
      <c r="Y61" s="1423">
        <f t="shared" si="17"/>
        <v>30500</v>
      </c>
      <c r="Z61" s="1424">
        <f t="shared" si="18"/>
        <v>18382.158261840625</v>
      </c>
      <c r="AA61" s="1425">
        <f t="shared" si="5"/>
        <v>12117.841738159375</v>
      </c>
      <c r="AB61" s="1426">
        <f>+AA61/Y61</f>
        <v>0.3973062864970287</v>
      </c>
      <c r="AC61" s="1431" t="s">
        <v>843</v>
      </c>
    </row>
    <row r="62" spans="1:29">
      <c r="A62" s="1416" t="s">
        <v>897</v>
      </c>
      <c r="B62" s="1440" t="s">
        <v>898</v>
      </c>
      <c r="C62" s="1416" t="s">
        <v>853</v>
      </c>
      <c r="D62" s="1419">
        <v>8000</v>
      </c>
      <c r="E62" s="1420"/>
      <c r="F62" s="1420">
        <f t="shared" si="26"/>
        <v>8000</v>
      </c>
      <c r="G62" s="1419"/>
      <c r="H62" s="1419"/>
      <c r="I62" s="1421">
        <f>+G62-H62</f>
        <v>0</v>
      </c>
      <c r="J62" s="1416"/>
      <c r="K62" s="1421"/>
      <c r="L62" s="1420">
        <f>+J62-K62</f>
        <v>0</v>
      </c>
      <c r="M62" s="1419"/>
      <c r="N62" s="1420">
        <v>5372</v>
      </c>
      <c r="O62" s="1422">
        <f>+M62-N62</f>
        <v>-5372</v>
      </c>
      <c r="P62" s="1422"/>
      <c r="Q62" s="1422">
        <v>1103.51</v>
      </c>
      <c r="R62" s="1422">
        <f>+P62-Q62</f>
        <v>-1103.51</v>
      </c>
      <c r="S62" s="1422"/>
      <c r="T62" s="1422">
        <v>1421.6</v>
      </c>
      <c r="U62" s="1422">
        <f t="shared" si="19"/>
        <v>-1421.6</v>
      </c>
      <c r="V62" s="1422">
        <v>0</v>
      </c>
      <c r="W62" s="1422">
        <v>0</v>
      </c>
      <c r="X62" s="1422">
        <f t="shared" si="16"/>
        <v>0</v>
      </c>
      <c r="Y62" s="1423">
        <f t="shared" si="17"/>
        <v>8000</v>
      </c>
      <c r="Z62" s="1424">
        <f t="shared" si="18"/>
        <v>7897.1100000000006</v>
      </c>
      <c r="AA62" s="1425">
        <f t="shared" si="5"/>
        <v>102.88999999999942</v>
      </c>
      <c r="AB62" s="1426">
        <f>+AA62/Y62</f>
        <v>1.2861249999999927E-2</v>
      </c>
      <c r="AC62" s="1431" t="s">
        <v>846</v>
      </c>
    </row>
    <row r="63" spans="1:29" ht="35.1" customHeight="1">
      <c r="A63" s="2760" t="s">
        <v>899</v>
      </c>
      <c r="B63" s="2761"/>
      <c r="C63" s="1416"/>
      <c r="D63" s="1434"/>
      <c r="E63" s="1435"/>
      <c r="F63" s="1420">
        <f t="shared" si="26"/>
        <v>0</v>
      </c>
      <c r="G63" s="1434"/>
      <c r="H63" s="1434"/>
      <c r="I63" s="1416"/>
      <c r="J63" s="1434"/>
      <c r="K63" s="1435"/>
      <c r="L63" s="1420"/>
      <c r="M63" s="1434"/>
      <c r="N63" s="1435"/>
      <c r="O63" s="1422"/>
      <c r="P63" s="1422"/>
      <c r="Q63" s="1422"/>
      <c r="R63" s="1422"/>
      <c r="S63" s="1422"/>
      <c r="T63" s="1422"/>
      <c r="U63" s="1422">
        <f t="shared" si="19"/>
        <v>0</v>
      </c>
      <c r="V63" s="1422">
        <v>0</v>
      </c>
      <c r="W63" s="1422">
        <v>0</v>
      </c>
      <c r="X63" s="1422">
        <f t="shared" si="16"/>
        <v>0</v>
      </c>
      <c r="Y63" s="1423">
        <f t="shared" si="17"/>
        <v>0</v>
      </c>
      <c r="Z63" s="1424">
        <f t="shared" si="18"/>
        <v>0</v>
      </c>
      <c r="AA63" s="1425">
        <f t="shared" si="5"/>
        <v>0</v>
      </c>
      <c r="AB63" s="1426">
        <v>0</v>
      </c>
      <c r="AC63" s="1431"/>
    </row>
    <row r="64" spans="1:29">
      <c r="A64" s="1416" t="s">
        <v>900</v>
      </c>
      <c r="B64" s="1440" t="s">
        <v>901</v>
      </c>
      <c r="C64" s="1460" t="s">
        <v>853</v>
      </c>
      <c r="D64" s="1419">
        <v>999</v>
      </c>
      <c r="E64" s="1420"/>
      <c r="F64" s="1420">
        <f t="shared" si="26"/>
        <v>999</v>
      </c>
      <c r="G64" s="1419">
        <v>999</v>
      </c>
      <c r="H64" s="1419">
        <v>2624.13</v>
      </c>
      <c r="I64" s="1421">
        <f>+G64-H64</f>
        <v>-1625.13</v>
      </c>
      <c r="J64" s="1419">
        <v>999</v>
      </c>
      <c r="K64" s="1420"/>
      <c r="L64" s="1420">
        <f>+J64-K64</f>
        <v>999</v>
      </c>
      <c r="M64" s="1419">
        <v>999</v>
      </c>
      <c r="N64" s="1420">
        <v>1775</v>
      </c>
      <c r="O64" s="1422">
        <f>+M64-N64</f>
        <v>-776</v>
      </c>
      <c r="P64" s="1422">
        <v>999</v>
      </c>
      <c r="Q64" s="1422">
        <v>390.84</v>
      </c>
      <c r="R64" s="1422">
        <f>+P64-Q64</f>
        <v>608.16000000000008</v>
      </c>
      <c r="S64" s="1422">
        <v>999</v>
      </c>
      <c r="T64" s="1422">
        <f>198.37+99.18</f>
        <v>297.55</v>
      </c>
      <c r="U64" s="1422">
        <f t="shared" si="19"/>
        <v>701.45</v>
      </c>
      <c r="V64" s="1422">
        <v>999</v>
      </c>
      <c r="W64" s="1422">
        <v>859.59885386819485</v>
      </c>
      <c r="X64" s="1422">
        <f t="shared" si="16"/>
        <v>139.40114613180515</v>
      </c>
      <c r="Y64" s="1423">
        <f t="shared" si="17"/>
        <v>6993</v>
      </c>
      <c r="Z64" s="1424">
        <f t="shared" si="18"/>
        <v>5947.1188538681954</v>
      </c>
      <c r="AA64" s="1425">
        <f t="shared" si="5"/>
        <v>1045.8811461318046</v>
      </c>
      <c r="AB64" s="1426">
        <f t="shared" ref="AB64:AB69" si="27">+AA64/Y64</f>
        <v>0.14956115345800153</v>
      </c>
      <c r="AC64" s="1431" t="s">
        <v>902</v>
      </c>
    </row>
    <row r="65" spans="1:29">
      <c r="A65" s="1416"/>
      <c r="B65" s="1440" t="s">
        <v>903</v>
      </c>
      <c r="C65" s="1416" t="s">
        <v>853</v>
      </c>
      <c r="D65" s="1419"/>
      <c r="E65" s="1420"/>
      <c r="F65" s="1420"/>
      <c r="G65" s="1419"/>
      <c r="H65" s="1419"/>
      <c r="I65" s="1421"/>
      <c r="J65" s="1419"/>
      <c r="K65" s="1420"/>
      <c r="L65" s="1420"/>
      <c r="M65" s="1419"/>
      <c r="N65" s="1420"/>
      <c r="O65" s="1422"/>
      <c r="P65" s="1422"/>
      <c r="Q65" s="1422"/>
      <c r="R65" s="1422"/>
      <c r="S65" s="1422"/>
      <c r="T65" s="1422"/>
      <c r="U65" s="1422"/>
      <c r="V65" s="1422">
        <v>17166</v>
      </c>
      <c r="W65" s="1422">
        <v>18800.925721842628</v>
      </c>
      <c r="X65" s="1422">
        <f t="shared" si="16"/>
        <v>-1634.9257218426283</v>
      </c>
      <c r="Y65" s="1423">
        <f t="shared" si="17"/>
        <v>17166</v>
      </c>
      <c r="Z65" s="1424">
        <f t="shared" si="18"/>
        <v>18800.925721842628</v>
      </c>
      <c r="AA65" s="1425">
        <f t="shared" si="5"/>
        <v>-1634.9257218426283</v>
      </c>
      <c r="AB65" s="1426">
        <f t="shared" si="27"/>
        <v>-9.5242090285601086E-2</v>
      </c>
      <c r="AC65" s="1431"/>
    </row>
    <row r="66" spans="1:29">
      <c r="A66" s="1416" t="s">
        <v>904</v>
      </c>
      <c r="B66" s="1417" t="s">
        <v>905</v>
      </c>
      <c r="C66" s="1416" t="s">
        <v>853</v>
      </c>
      <c r="D66" s="1419">
        <v>3982</v>
      </c>
      <c r="E66" s="1420"/>
      <c r="F66" s="1420">
        <f>+D66-E66</f>
        <v>3982</v>
      </c>
      <c r="G66" s="1416"/>
      <c r="H66" s="1416"/>
      <c r="I66" s="1421">
        <f>+G66-H66</f>
        <v>0</v>
      </c>
      <c r="J66" s="1419"/>
      <c r="K66" s="1420"/>
      <c r="L66" s="1420">
        <f>+J66-K66</f>
        <v>0</v>
      </c>
      <c r="M66" s="1419"/>
      <c r="N66" s="1420">
        <v>639.28112965340176</v>
      </c>
      <c r="O66" s="1422">
        <f>+M66-N66</f>
        <v>-639.28112965340176</v>
      </c>
      <c r="P66" s="1422"/>
      <c r="Q66" s="1422">
        <v>46.66</v>
      </c>
      <c r="R66" s="1422">
        <f>+P66-Q66</f>
        <v>-46.66</v>
      </c>
      <c r="S66" s="1422"/>
      <c r="T66" s="1422">
        <f>3914.66</f>
        <v>3914.66</v>
      </c>
      <c r="U66" s="1422">
        <f t="shared" ref="U66:U99" si="28">+S66-T66</f>
        <v>-3914.66</v>
      </c>
      <c r="V66" s="1422">
        <v>0</v>
      </c>
      <c r="W66" s="1422">
        <v>0</v>
      </c>
      <c r="X66" s="1422">
        <f t="shared" si="16"/>
        <v>0</v>
      </c>
      <c r="Y66" s="1423">
        <f t="shared" si="17"/>
        <v>3982</v>
      </c>
      <c r="Z66" s="1424">
        <f t="shared" si="18"/>
        <v>4600.6011296534016</v>
      </c>
      <c r="AA66" s="1425">
        <f t="shared" si="5"/>
        <v>-618.60112965340159</v>
      </c>
      <c r="AB66" s="1426">
        <f t="shared" si="27"/>
        <v>-0.15534935450863926</v>
      </c>
      <c r="AC66" s="1431" t="s">
        <v>906</v>
      </c>
    </row>
    <row r="67" spans="1:29" ht="24">
      <c r="A67" s="1416" t="s">
        <v>907</v>
      </c>
      <c r="B67" s="1440" t="s">
        <v>908</v>
      </c>
      <c r="C67" s="1416" t="s">
        <v>853</v>
      </c>
      <c r="D67" s="1419"/>
      <c r="E67" s="1420">
        <v>21810.6</v>
      </c>
      <c r="F67" s="1420">
        <f>+D67-E67</f>
        <v>-21810.6</v>
      </c>
      <c r="G67" s="1419"/>
      <c r="H67" s="1419">
        <f>1954.82+19.16</f>
        <v>1973.98</v>
      </c>
      <c r="I67" s="1421">
        <f>+G67-H67</f>
        <v>-1973.98</v>
      </c>
      <c r="J67" s="1419">
        <v>21750</v>
      </c>
      <c r="K67" s="1420"/>
      <c r="L67" s="1420">
        <f>+J67-K67</f>
        <v>21750</v>
      </c>
      <c r="M67" s="1419"/>
      <c r="N67" s="1420">
        <v>8645.6996148908856</v>
      </c>
      <c r="O67" s="1422">
        <f>+M67-N67</f>
        <v>-8645.6996148908856</v>
      </c>
      <c r="P67" s="1422"/>
      <c r="Q67" s="1422"/>
      <c r="R67" s="1422">
        <f>+P67-Q67</f>
        <v>0</v>
      </c>
      <c r="S67" s="1422"/>
      <c r="T67" s="1422"/>
      <c r="U67" s="1422">
        <f t="shared" si="28"/>
        <v>0</v>
      </c>
      <c r="V67" s="1422">
        <v>21750</v>
      </c>
      <c r="W67" s="1422">
        <v>0</v>
      </c>
      <c r="X67" s="1422">
        <f t="shared" si="16"/>
        <v>21750</v>
      </c>
      <c r="Y67" s="1423">
        <f t="shared" si="17"/>
        <v>43500</v>
      </c>
      <c r="Z67" s="1424">
        <f t="shared" si="18"/>
        <v>32430.279614890882</v>
      </c>
      <c r="AA67" s="1425">
        <f t="shared" si="5"/>
        <v>11069.720385109118</v>
      </c>
      <c r="AB67" s="1426">
        <f t="shared" si="27"/>
        <v>0.25447633069216363</v>
      </c>
      <c r="AC67" s="1427" t="s">
        <v>805</v>
      </c>
    </row>
    <row r="68" spans="1:29">
      <c r="A68" s="1416" t="s">
        <v>909</v>
      </c>
      <c r="B68" s="1417" t="s">
        <v>910</v>
      </c>
      <c r="C68" s="1416" t="s">
        <v>853</v>
      </c>
      <c r="D68" s="1419"/>
      <c r="E68" s="1420"/>
      <c r="F68" s="1420">
        <f>+D68-E68</f>
        <v>0</v>
      </c>
      <c r="G68" s="1419">
        <v>13750</v>
      </c>
      <c r="H68" s="1419"/>
      <c r="I68" s="1421">
        <f>+G68-H68</f>
        <v>13750</v>
      </c>
      <c r="J68" s="1419"/>
      <c r="K68" s="1420"/>
      <c r="L68" s="1420">
        <f>+J68-K68</f>
        <v>0</v>
      </c>
      <c r="M68" s="1419"/>
      <c r="N68" s="1420"/>
      <c r="O68" s="1422">
        <f>+M68-N68</f>
        <v>0</v>
      </c>
      <c r="P68" s="1422"/>
      <c r="Q68" s="1422"/>
      <c r="R68" s="1422">
        <f>+P68-Q68</f>
        <v>0</v>
      </c>
      <c r="S68" s="1422"/>
      <c r="T68" s="1422">
        <v>15059.8</v>
      </c>
      <c r="U68" s="1422">
        <f t="shared" si="28"/>
        <v>-15059.8</v>
      </c>
      <c r="V68" s="1422">
        <v>15045</v>
      </c>
      <c r="W68" s="1422">
        <v>0</v>
      </c>
      <c r="X68" s="1422">
        <f t="shared" si="16"/>
        <v>15045</v>
      </c>
      <c r="Y68" s="1423">
        <f t="shared" si="17"/>
        <v>28795</v>
      </c>
      <c r="Z68" s="1424">
        <f t="shared" si="18"/>
        <v>15059.8</v>
      </c>
      <c r="AA68" s="1425">
        <f t="shared" si="5"/>
        <v>13735.2</v>
      </c>
      <c r="AB68" s="1426">
        <f t="shared" si="27"/>
        <v>0.47699947907622853</v>
      </c>
      <c r="AC68" s="1431" t="s">
        <v>911</v>
      </c>
    </row>
    <row r="69" spans="1:29" ht="13.5">
      <c r="A69" s="1439" t="s">
        <v>912</v>
      </c>
      <c r="B69" s="1429" t="s">
        <v>913</v>
      </c>
      <c r="C69" s="1416"/>
      <c r="D69" s="1419"/>
      <c r="E69" s="1420"/>
      <c r="F69" s="1420"/>
      <c r="G69" s="1419"/>
      <c r="H69" s="1419"/>
      <c r="I69" s="1421"/>
      <c r="J69" s="1419"/>
      <c r="K69" s="1420"/>
      <c r="L69" s="1420"/>
      <c r="M69" s="1419"/>
      <c r="N69" s="1448"/>
      <c r="O69" s="1422"/>
      <c r="P69" s="1422"/>
      <c r="Q69" s="1422"/>
      <c r="R69" s="1422"/>
      <c r="S69" s="1422">
        <v>10000</v>
      </c>
      <c r="T69" s="1422">
        <v>853.38</v>
      </c>
      <c r="U69" s="1422">
        <f t="shared" si="28"/>
        <v>9146.6200000000008</v>
      </c>
      <c r="V69" s="1422">
        <v>0</v>
      </c>
      <c r="W69" s="1422">
        <v>0</v>
      </c>
      <c r="X69" s="1422">
        <f t="shared" ref="X69:X100" si="29">+V69-W69</f>
        <v>0</v>
      </c>
      <c r="Y69" s="1423">
        <f t="shared" ref="Y69:Y103" si="30">+J69+G69+D69+M69+P69+S69+V69</f>
        <v>10000</v>
      </c>
      <c r="Z69" s="1424">
        <f t="shared" ref="Z69:Z103" si="31">+N69+K69+H69+E69+Q69+T69+W69</f>
        <v>853.38</v>
      </c>
      <c r="AA69" s="1425">
        <f t="shared" si="5"/>
        <v>9146.6200000000008</v>
      </c>
      <c r="AB69" s="1426">
        <f t="shared" si="27"/>
        <v>0.91466200000000009</v>
      </c>
      <c r="AC69" s="1427" t="s">
        <v>1072</v>
      </c>
    </row>
    <row r="70" spans="1:29" ht="24">
      <c r="A70" s="1416" t="s">
        <v>912</v>
      </c>
      <c r="B70" s="1417" t="s">
        <v>914</v>
      </c>
      <c r="C70" s="1416" t="s">
        <v>853</v>
      </c>
      <c r="D70" s="1419"/>
      <c r="E70" s="1420">
        <v>1710.84</v>
      </c>
      <c r="F70" s="1420">
        <f>+D70-E70</f>
        <v>-1710.84</v>
      </c>
      <c r="G70" s="1419"/>
      <c r="H70" s="1419">
        <v>21840.59</v>
      </c>
      <c r="I70" s="1421">
        <f>+G70-H70</f>
        <v>-21840.59</v>
      </c>
      <c r="J70" s="1419"/>
      <c r="K70" s="1420"/>
      <c r="L70" s="1420">
        <f>+J70-K70</f>
        <v>0</v>
      </c>
      <c r="M70" s="1419"/>
      <c r="N70" s="1448"/>
      <c r="O70" s="1422">
        <f>+M70-N70</f>
        <v>0</v>
      </c>
      <c r="P70" s="1422"/>
      <c r="Q70" s="1422"/>
      <c r="R70" s="1422">
        <f>+P70-Q70</f>
        <v>0</v>
      </c>
      <c r="S70" s="1422"/>
      <c r="T70" s="1422"/>
      <c r="U70" s="1422">
        <f t="shared" si="28"/>
        <v>0</v>
      </c>
      <c r="V70" s="1422">
        <v>0</v>
      </c>
      <c r="W70" s="1422">
        <v>0</v>
      </c>
      <c r="X70" s="1422">
        <f t="shared" si="29"/>
        <v>0</v>
      </c>
      <c r="Y70" s="1423">
        <f t="shared" si="30"/>
        <v>0</v>
      </c>
      <c r="Z70" s="1424">
        <f t="shared" si="31"/>
        <v>23551.43</v>
      </c>
      <c r="AA70" s="1425">
        <f t="shared" ref="AA70:AA103" si="32">+Y70-Z70</f>
        <v>-23551.43</v>
      </c>
      <c r="AB70" s="1426">
        <v>0</v>
      </c>
      <c r="AC70" s="1427" t="s">
        <v>915</v>
      </c>
    </row>
    <row r="71" spans="1:29">
      <c r="A71" s="1416"/>
      <c r="B71" s="1444" t="s">
        <v>916</v>
      </c>
      <c r="C71" s="1416" t="s">
        <v>853</v>
      </c>
      <c r="D71" s="1419"/>
      <c r="E71" s="1420"/>
      <c r="F71" s="1420"/>
      <c r="G71" s="1419"/>
      <c r="H71" s="1419"/>
      <c r="I71" s="1421"/>
      <c r="J71" s="1419"/>
      <c r="K71" s="1420"/>
      <c r="L71" s="1420"/>
      <c r="M71" s="1419"/>
      <c r="N71" s="1448"/>
      <c r="O71" s="1422"/>
      <c r="P71" s="1422">
        <v>25980</v>
      </c>
      <c r="Q71" s="1422"/>
      <c r="R71" s="1422">
        <f>+P71-Q71</f>
        <v>25980</v>
      </c>
      <c r="S71" s="1422"/>
      <c r="T71" s="1422">
        <v>19935.330000000002</v>
      </c>
      <c r="U71" s="1422">
        <f t="shared" si="28"/>
        <v>-19935.330000000002</v>
      </c>
      <c r="V71" s="1422">
        <v>0</v>
      </c>
      <c r="W71" s="1422">
        <v>16817.280141062376</v>
      </c>
      <c r="X71" s="1422">
        <f t="shared" si="29"/>
        <v>-16817.280141062376</v>
      </c>
      <c r="Y71" s="1423">
        <f t="shared" si="30"/>
        <v>25980</v>
      </c>
      <c r="Z71" s="1424">
        <f t="shared" si="31"/>
        <v>36752.610141062381</v>
      </c>
      <c r="AA71" s="1425">
        <f t="shared" si="32"/>
        <v>-10772.610141062381</v>
      </c>
      <c r="AB71" s="1426">
        <f>+AA71/Y71</f>
        <v>-0.414650120903094</v>
      </c>
      <c r="AC71" s="1427" t="s">
        <v>917</v>
      </c>
    </row>
    <row r="72" spans="1:29">
      <c r="A72" s="1416"/>
      <c r="B72" s="1444" t="s">
        <v>918</v>
      </c>
      <c r="C72" s="1416" t="s">
        <v>853</v>
      </c>
      <c r="D72" s="1419"/>
      <c r="E72" s="1420"/>
      <c r="F72" s="1420"/>
      <c r="G72" s="1419"/>
      <c r="H72" s="1419"/>
      <c r="I72" s="1421"/>
      <c r="J72" s="1419"/>
      <c r="K72" s="1420"/>
      <c r="L72" s="1420"/>
      <c r="M72" s="1419"/>
      <c r="N72" s="1448"/>
      <c r="O72" s="1422"/>
      <c r="P72" s="1422">
        <v>4900</v>
      </c>
      <c r="Q72" s="1422"/>
      <c r="R72" s="1422">
        <f>+P72-Q72</f>
        <v>4900</v>
      </c>
      <c r="S72" s="1422"/>
      <c r="T72" s="1422"/>
      <c r="U72" s="1422">
        <f t="shared" si="28"/>
        <v>0</v>
      </c>
      <c r="V72" s="1422">
        <v>0</v>
      </c>
      <c r="W72" s="1422">
        <v>0</v>
      </c>
      <c r="X72" s="1422">
        <f t="shared" si="29"/>
        <v>0</v>
      </c>
      <c r="Y72" s="1423">
        <f t="shared" si="30"/>
        <v>4900</v>
      </c>
      <c r="Z72" s="1424">
        <f t="shared" si="31"/>
        <v>0</v>
      </c>
      <c r="AA72" s="1425">
        <f t="shared" si="32"/>
        <v>4900</v>
      </c>
      <c r="AB72" s="1426">
        <f>+AA72/Y72</f>
        <v>1</v>
      </c>
      <c r="AC72" s="1427" t="s">
        <v>1073</v>
      </c>
    </row>
    <row r="73" spans="1:29" ht="24">
      <c r="A73" s="1416" t="s">
        <v>919</v>
      </c>
      <c r="B73" s="1417" t="s">
        <v>920</v>
      </c>
      <c r="C73" s="1416" t="s">
        <v>853</v>
      </c>
      <c r="D73" s="1419"/>
      <c r="E73" s="1420"/>
      <c r="F73" s="1420">
        <f t="shared" ref="F73:F94" si="33">+D73-E73</f>
        <v>0</v>
      </c>
      <c r="G73" s="1419"/>
      <c r="H73" s="1419">
        <v>5159.92</v>
      </c>
      <c r="I73" s="1421">
        <f>+G73-H73</f>
        <v>-5159.92</v>
      </c>
      <c r="J73" s="1419"/>
      <c r="K73" s="1420"/>
      <c r="L73" s="1420">
        <f>+J73-K73</f>
        <v>0</v>
      </c>
      <c r="M73" s="1419"/>
      <c r="N73" s="1448"/>
      <c r="O73" s="1422">
        <f>+M73-N73</f>
        <v>0</v>
      </c>
      <c r="P73" s="1422"/>
      <c r="Q73" s="1422"/>
      <c r="R73" s="1422">
        <f>+P73-Q73</f>
        <v>0</v>
      </c>
      <c r="S73" s="1422"/>
      <c r="T73" s="1422"/>
      <c r="U73" s="1422">
        <f t="shared" si="28"/>
        <v>0</v>
      </c>
      <c r="V73" s="1422">
        <v>0</v>
      </c>
      <c r="W73" s="1422">
        <v>0</v>
      </c>
      <c r="X73" s="1422">
        <f t="shared" si="29"/>
        <v>0</v>
      </c>
      <c r="Y73" s="1423">
        <f t="shared" si="30"/>
        <v>0</v>
      </c>
      <c r="Z73" s="1424">
        <f t="shared" si="31"/>
        <v>5159.92</v>
      </c>
      <c r="AA73" s="1425">
        <f t="shared" si="32"/>
        <v>-5159.92</v>
      </c>
      <c r="AB73" s="1426">
        <v>0</v>
      </c>
      <c r="AC73" s="1427" t="s">
        <v>915</v>
      </c>
    </row>
    <row r="74" spans="1:29" ht="18.600000000000001" customHeight="1">
      <c r="A74" s="2760" t="s">
        <v>921</v>
      </c>
      <c r="B74" s="2761"/>
      <c r="C74" s="1416"/>
      <c r="D74" s="1434"/>
      <c r="E74" s="1435"/>
      <c r="F74" s="1420">
        <f t="shared" si="33"/>
        <v>0</v>
      </c>
      <c r="G74" s="1434"/>
      <c r="H74" s="1434"/>
      <c r="I74" s="1416"/>
      <c r="J74" s="1434"/>
      <c r="K74" s="1435"/>
      <c r="L74" s="1420"/>
      <c r="M74" s="1434"/>
      <c r="N74" s="1435"/>
      <c r="O74" s="1422"/>
      <c r="P74" s="1422"/>
      <c r="Q74" s="1422"/>
      <c r="R74" s="1422"/>
      <c r="S74" s="1422"/>
      <c r="T74" s="1422"/>
      <c r="U74" s="1422">
        <f t="shared" si="28"/>
        <v>0</v>
      </c>
      <c r="V74" s="1422">
        <v>0</v>
      </c>
      <c r="W74" s="1422">
        <v>0</v>
      </c>
      <c r="X74" s="1422">
        <f t="shared" si="29"/>
        <v>0</v>
      </c>
      <c r="Y74" s="1423">
        <f t="shared" si="30"/>
        <v>0</v>
      </c>
      <c r="Z74" s="1424">
        <f t="shared" si="31"/>
        <v>0</v>
      </c>
      <c r="AA74" s="1425">
        <f t="shared" si="32"/>
        <v>0</v>
      </c>
      <c r="AB74" s="1426">
        <v>0</v>
      </c>
      <c r="AC74" s="1431"/>
    </row>
    <row r="75" spans="1:29" ht="24">
      <c r="A75" s="1416" t="s">
        <v>922</v>
      </c>
      <c r="B75" s="1417" t="s">
        <v>923</v>
      </c>
      <c r="C75" s="1416" t="s">
        <v>853</v>
      </c>
      <c r="D75" s="1419">
        <v>984</v>
      </c>
      <c r="E75" s="1420">
        <v>0</v>
      </c>
      <c r="F75" s="1420">
        <f t="shared" si="33"/>
        <v>984</v>
      </c>
      <c r="G75" s="1416"/>
      <c r="H75" s="1416">
        <v>899.04</v>
      </c>
      <c r="I75" s="1421">
        <f t="shared" ref="I75:I80" si="34">+G75-H75</f>
        <v>-899.04</v>
      </c>
      <c r="J75" s="1419"/>
      <c r="K75" s="1420"/>
      <c r="L75" s="1420">
        <f t="shared" ref="L75:L80" si="35">+J75-K75</f>
        <v>0</v>
      </c>
      <c r="M75" s="1419"/>
      <c r="N75" s="1420">
        <v>718.18570817287116</v>
      </c>
      <c r="O75" s="1422">
        <f t="shared" ref="O75:O80" si="36">+M75-N75</f>
        <v>-718.18570817287116</v>
      </c>
      <c r="P75" s="1422"/>
      <c r="Q75" s="1422"/>
      <c r="R75" s="1422">
        <f t="shared" ref="R75:R80" si="37">+P75-Q75</f>
        <v>0</v>
      </c>
      <c r="S75" s="1422"/>
      <c r="T75" s="1422">
        <v>24.25</v>
      </c>
      <c r="U75" s="1422">
        <f t="shared" si="28"/>
        <v>-24.25</v>
      </c>
      <c r="V75" s="1422">
        <v>0</v>
      </c>
      <c r="W75" s="1422">
        <v>0</v>
      </c>
      <c r="X75" s="1422">
        <f t="shared" si="29"/>
        <v>0</v>
      </c>
      <c r="Y75" s="1423">
        <f t="shared" si="30"/>
        <v>984</v>
      </c>
      <c r="Z75" s="1424">
        <f t="shared" si="31"/>
        <v>1641.4757081728712</v>
      </c>
      <c r="AA75" s="1425">
        <f t="shared" si="32"/>
        <v>-657.47570817287124</v>
      </c>
      <c r="AB75" s="1426">
        <f>+AA75/Y75</f>
        <v>-0.66816637009438129</v>
      </c>
      <c r="AC75" s="1427" t="s">
        <v>924</v>
      </c>
    </row>
    <row r="76" spans="1:29" ht="24">
      <c r="A76" s="1416" t="s">
        <v>925</v>
      </c>
      <c r="B76" s="1417" t="s">
        <v>926</v>
      </c>
      <c r="C76" s="1416" t="s">
        <v>853</v>
      </c>
      <c r="D76" s="1419">
        <v>338</v>
      </c>
      <c r="E76" s="1420">
        <v>3207.97</v>
      </c>
      <c r="F76" s="1420">
        <f t="shared" si="33"/>
        <v>-2869.97</v>
      </c>
      <c r="G76" s="1419"/>
      <c r="H76" s="1419"/>
      <c r="I76" s="1421">
        <f t="shared" si="34"/>
        <v>0</v>
      </c>
      <c r="J76" s="1416"/>
      <c r="K76" s="1421"/>
      <c r="L76" s="1420">
        <f t="shared" si="35"/>
        <v>0</v>
      </c>
      <c r="M76" s="1419"/>
      <c r="N76" s="1420">
        <v>64.31322207958921</v>
      </c>
      <c r="O76" s="1422">
        <f t="shared" si="36"/>
        <v>-64.31322207958921</v>
      </c>
      <c r="P76" s="1422"/>
      <c r="Q76" s="1422"/>
      <c r="R76" s="1422">
        <f t="shared" si="37"/>
        <v>0</v>
      </c>
      <c r="S76" s="1422"/>
      <c r="T76" s="1422"/>
      <c r="U76" s="1422">
        <f t="shared" si="28"/>
        <v>0</v>
      </c>
      <c r="V76" s="1422">
        <v>0</v>
      </c>
      <c r="W76" s="1422">
        <v>0</v>
      </c>
      <c r="X76" s="1422">
        <f t="shared" si="29"/>
        <v>0</v>
      </c>
      <c r="Y76" s="1423">
        <f t="shared" si="30"/>
        <v>338</v>
      </c>
      <c r="Z76" s="1424">
        <f t="shared" si="31"/>
        <v>3272.283222079589</v>
      </c>
      <c r="AA76" s="1425">
        <f t="shared" si="32"/>
        <v>-2934.283222079589</v>
      </c>
      <c r="AB76" s="1426">
        <f>+AA76/Y76</f>
        <v>-8.6813113079277784</v>
      </c>
      <c r="AC76" s="1427" t="s">
        <v>927</v>
      </c>
    </row>
    <row r="77" spans="1:29" ht="21.6" customHeight="1">
      <c r="A77" s="1416" t="s">
        <v>928</v>
      </c>
      <c r="B77" s="1417" t="s">
        <v>929</v>
      </c>
      <c r="C77" s="1416" t="s">
        <v>853</v>
      </c>
      <c r="D77" s="1419"/>
      <c r="E77" s="1420">
        <v>1736.25</v>
      </c>
      <c r="F77" s="1420">
        <f t="shared" si="33"/>
        <v>-1736.25</v>
      </c>
      <c r="G77" s="1419">
        <v>10000</v>
      </c>
      <c r="H77" s="1419"/>
      <c r="I77" s="1421">
        <f t="shared" si="34"/>
        <v>10000</v>
      </c>
      <c r="J77" s="1416"/>
      <c r="K77" s="1421">
        <v>2620.88</v>
      </c>
      <c r="L77" s="1420">
        <f t="shared" si="35"/>
        <v>-2620.88</v>
      </c>
      <c r="M77" s="1419"/>
      <c r="N77" s="1420">
        <v>3415.7680787334189</v>
      </c>
      <c r="O77" s="1422">
        <f t="shared" si="36"/>
        <v>-3415.7680787334189</v>
      </c>
      <c r="P77" s="1422"/>
      <c r="Q77" s="1422">
        <v>582.59</v>
      </c>
      <c r="R77" s="1422">
        <f t="shared" si="37"/>
        <v>-582.59</v>
      </c>
      <c r="S77" s="1422"/>
      <c r="T77" s="1422">
        <v>2226.48</v>
      </c>
      <c r="U77" s="1422">
        <f t="shared" si="28"/>
        <v>-2226.48</v>
      </c>
      <c r="V77" s="1422">
        <v>0</v>
      </c>
      <c r="W77" s="1422">
        <v>0</v>
      </c>
      <c r="X77" s="1422">
        <f t="shared" si="29"/>
        <v>0</v>
      </c>
      <c r="Y77" s="1423">
        <f t="shared" si="30"/>
        <v>10000</v>
      </c>
      <c r="Z77" s="1424">
        <f t="shared" si="31"/>
        <v>10581.968078733418</v>
      </c>
      <c r="AA77" s="1425">
        <f t="shared" si="32"/>
        <v>-581.96807873341822</v>
      </c>
      <c r="AB77" s="1426">
        <f>+AA77/Y77</f>
        <v>-5.8196807873341826E-2</v>
      </c>
      <c r="AC77" s="1427" t="s">
        <v>930</v>
      </c>
    </row>
    <row r="78" spans="1:29" ht="21.6" customHeight="1">
      <c r="A78" s="1416" t="s">
        <v>931</v>
      </c>
      <c r="B78" s="1417" t="s">
        <v>932</v>
      </c>
      <c r="C78" s="1416" t="s">
        <v>853</v>
      </c>
      <c r="D78" s="1419"/>
      <c r="E78" s="1420">
        <f>2809.95+15908.77</f>
        <v>18718.72</v>
      </c>
      <c r="F78" s="1420">
        <f t="shared" si="33"/>
        <v>-18718.72</v>
      </c>
      <c r="G78" s="1419">
        <v>3680</v>
      </c>
      <c r="H78" s="1419">
        <v>433.97</v>
      </c>
      <c r="I78" s="1421">
        <f t="shared" si="34"/>
        <v>3246.0299999999997</v>
      </c>
      <c r="J78" s="1419"/>
      <c r="K78" s="1420"/>
      <c r="L78" s="1420">
        <f t="shared" si="35"/>
        <v>0</v>
      </c>
      <c r="M78" s="1419"/>
      <c r="N78" s="1420">
        <v>1245.4471544715445</v>
      </c>
      <c r="O78" s="1422">
        <f t="shared" si="36"/>
        <v>-1245.4471544715445</v>
      </c>
      <c r="P78" s="1422"/>
      <c r="Q78" s="1422">
        <v>334.36</v>
      </c>
      <c r="R78" s="1422">
        <f t="shared" si="37"/>
        <v>-334.36</v>
      </c>
      <c r="S78" s="1422"/>
      <c r="T78" s="1422"/>
      <c r="U78" s="1422">
        <f t="shared" si="28"/>
        <v>0</v>
      </c>
      <c r="V78" s="1422">
        <v>0</v>
      </c>
      <c r="W78" s="1422">
        <v>0</v>
      </c>
      <c r="X78" s="1422">
        <f t="shared" si="29"/>
        <v>0</v>
      </c>
      <c r="Y78" s="1423">
        <f t="shared" si="30"/>
        <v>3680</v>
      </c>
      <c r="Z78" s="1424">
        <f t="shared" si="31"/>
        <v>20732.497154471544</v>
      </c>
      <c r="AA78" s="1425">
        <f t="shared" si="32"/>
        <v>-17052.497154471544</v>
      </c>
      <c r="AB78" s="1426">
        <f>+AA78/Y78</f>
        <v>-4.6338307484977026</v>
      </c>
      <c r="AC78" s="1427" t="s">
        <v>915</v>
      </c>
    </row>
    <row r="79" spans="1:29">
      <c r="A79" s="1416" t="s">
        <v>933</v>
      </c>
      <c r="B79" s="1440" t="s">
        <v>934</v>
      </c>
      <c r="C79" s="1416" t="s">
        <v>853</v>
      </c>
      <c r="D79" s="1419">
        <v>450</v>
      </c>
      <c r="E79" s="1420">
        <v>2985.27</v>
      </c>
      <c r="F79" s="1420">
        <f t="shared" si="33"/>
        <v>-2535.27</v>
      </c>
      <c r="G79" s="1419"/>
      <c r="H79" s="1419">
        <v>251.87</v>
      </c>
      <c r="I79" s="1421">
        <f t="shared" si="34"/>
        <v>-251.87</v>
      </c>
      <c r="J79" s="1419"/>
      <c r="K79" s="1420"/>
      <c r="L79" s="1420">
        <f t="shared" si="35"/>
        <v>0</v>
      </c>
      <c r="M79" s="1419">
        <v>450</v>
      </c>
      <c r="N79" s="1420"/>
      <c r="O79" s="1422">
        <f t="shared" si="36"/>
        <v>450</v>
      </c>
      <c r="P79" s="1422"/>
      <c r="Q79" s="1422"/>
      <c r="R79" s="1422">
        <f t="shared" si="37"/>
        <v>0</v>
      </c>
      <c r="S79" s="1422"/>
      <c r="T79" s="1422"/>
      <c r="U79" s="1422">
        <f t="shared" si="28"/>
        <v>0</v>
      </c>
      <c r="V79" s="1422">
        <v>0</v>
      </c>
      <c r="W79" s="1422">
        <v>0</v>
      </c>
      <c r="X79" s="1422">
        <f t="shared" si="29"/>
        <v>0</v>
      </c>
      <c r="Y79" s="1423">
        <f t="shared" si="30"/>
        <v>900</v>
      </c>
      <c r="Z79" s="1424">
        <f t="shared" si="31"/>
        <v>3237.14</v>
      </c>
      <c r="AA79" s="1425">
        <f t="shared" si="32"/>
        <v>-2337.14</v>
      </c>
      <c r="AB79" s="1426">
        <f>+AA79/Y79</f>
        <v>-2.5968222222222219</v>
      </c>
      <c r="AC79" s="1427" t="s">
        <v>1074</v>
      </c>
    </row>
    <row r="80" spans="1:29">
      <c r="A80" s="1416" t="s">
        <v>935</v>
      </c>
      <c r="B80" s="1440" t="s">
        <v>836</v>
      </c>
      <c r="C80" s="1416" t="s">
        <v>853</v>
      </c>
      <c r="D80" s="1419"/>
      <c r="E80" s="1420">
        <v>24302.99</v>
      </c>
      <c r="F80" s="1420">
        <f t="shared" si="33"/>
        <v>-24302.99</v>
      </c>
      <c r="G80" s="1419"/>
      <c r="H80" s="1419"/>
      <c r="I80" s="1421">
        <f t="shared" si="34"/>
        <v>0</v>
      </c>
      <c r="J80" s="1419"/>
      <c r="K80" s="1420"/>
      <c r="L80" s="1420">
        <f t="shared" si="35"/>
        <v>0</v>
      </c>
      <c r="M80" s="1419"/>
      <c r="N80" s="1448"/>
      <c r="O80" s="1422">
        <f t="shared" si="36"/>
        <v>0</v>
      </c>
      <c r="P80" s="1422"/>
      <c r="Q80" s="1422"/>
      <c r="R80" s="1422">
        <f t="shared" si="37"/>
        <v>0</v>
      </c>
      <c r="S80" s="1422"/>
      <c r="T80" s="1422"/>
      <c r="U80" s="1422">
        <f t="shared" si="28"/>
        <v>0</v>
      </c>
      <c r="V80" s="1422">
        <v>0</v>
      </c>
      <c r="W80" s="1422">
        <v>0</v>
      </c>
      <c r="X80" s="1422">
        <f t="shared" si="29"/>
        <v>0</v>
      </c>
      <c r="Y80" s="1423">
        <f t="shared" si="30"/>
        <v>0</v>
      </c>
      <c r="Z80" s="1424">
        <f t="shared" si="31"/>
        <v>24302.99</v>
      </c>
      <c r="AA80" s="1425">
        <f t="shared" si="32"/>
        <v>-24302.99</v>
      </c>
      <c r="AB80" s="1426">
        <v>0</v>
      </c>
      <c r="AC80" s="1427"/>
    </row>
    <row r="81" spans="1:29" ht="28.5" customHeight="1">
      <c r="A81" s="2760" t="s">
        <v>936</v>
      </c>
      <c r="B81" s="2761"/>
      <c r="C81" s="1416"/>
      <c r="D81" s="1434"/>
      <c r="E81" s="1435"/>
      <c r="F81" s="1420">
        <f t="shared" si="33"/>
        <v>0</v>
      </c>
      <c r="G81" s="1434"/>
      <c r="H81" s="1434"/>
      <c r="I81" s="1421"/>
      <c r="J81" s="1434"/>
      <c r="K81" s="1435"/>
      <c r="L81" s="1420"/>
      <c r="M81" s="1434"/>
      <c r="N81" s="1435"/>
      <c r="O81" s="1422"/>
      <c r="P81" s="1422"/>
      <c r="Q81" s="1422"/>
      <c r="R81" s="1422"/>
      <c r="S81" s="1422"/>
      <c r="T81" s="1422"/>
      <c r="U81" s="1422">
        <f t="shared" si="28"/>
        <v>0</v>
      </c>
      <c r="V81" s="1422">
        <v>0</v>
      </c>
      <c r="W81" s="1422">
        <v>0</v>
      </c>
      <c r="X81" s="1422">
        <f t="shared" si="29"/>
        <v>0</v>
      </c>
      <c r="Y81" s="1423">
        <f t="shared" si="30"/>
        <v>0</v>
      </c>
      <c r="Z81" s="1424">
        <f t="shared" si="31"/>
        <v>0</v>
      </c>
      <c r="AA81" s="1425">
        <f t="shared" si="32"/>
        <v>0</v>
      </c>
      <c r="AB81" s="1426"/>
      <c r="AC81" s="1431"/>
    </row>
    <row r="82" spans="1:29">
      <c r="A82" s="1416" t="s">
        <v>937</v>
      </c>
      <c r="B82" s="1457" t="s">
        <v>938</v>
      </c>
      <c r="C82" s="1416" t="s">
        <v>939</v>
      </c>
      <c r="D82" s="1419">
        <v>4000</v>
      </c>
      <c r="E82" s="1420"/>
      <c r="F82" s="1420">
        <f t="shared" si="33"/>
        <v>4000</v>
      </c>
      <c r="G82" s="1416"/>
      <c r="H82" s="1416"/>
      <c r="I82" s="1421">
        <f>+G82-H82</f>
        <v>0</v>
      </c>
      <c r="J82" s="1419"/>
      <c r="K82" s="1420"/>
      <c r="L82" s="1420">
        <f>+J82-K82</f>
        <v>0</v>
      </c>
      <c r="M82" s="1419"/>
      <c r="N82" s="1420"/>
      <c r="O82" s="1422">
        <f>+M82-N82</f>
        <v>0</v>
      </c>
      <c r="P82" s="1422"/>
      <c r="Q82" s="1422"/>
      <c r="R82" s="1422">
        <f>+P82-Q82</f>
        <v>0</v>
      </c>
      <c r="S82" s="1422"/>
      <c r="T82" s="1422"/>
      <c r="U82" s="1422">
        <f t="shared" si="28"/>
        <v>0</v>
      </c>
      <c r="V82" s="1422">
        <v>0</v>
      </c>
      <c r="W82" s="1422">
        <v>0</v>
      </c>
      <c r="X82" s="1422">
        <f t="shared" si="29"/>
        <v>0</v>
      </c>
      <c r="Y82" s="1423">
        <f t="shared" si="30"/>
        <v>4000</v>
      </c>
      <c r="Z82" s="1424">
        <f t="shared" si="31"/>
        <v>0</v>
      </c>
      <c r="AA82" s="1425">
        <f t="shared" si="32"/>
        <v>4000</v>
      </c>
      <c r="AB82" s="1426">
        <f>+AA82/Y82</f>
        <v>1</v>
      </c>
      <c r="AC82" s="1427" t="s">
        <v>940</v>
      </c>
    </row>
    <row r="83" spans="1:29" ht="24">
      <c r="A83" s="1416" t="s">
        <v>941</v>
      </c>
      <c r="B83" s="1417" t="s">
        <v>942</v>
      </c>
      <c r="C83" s="1416" t="s">
        <v>939</v>
      </c>
      <c r="D83" s="1419"/>
      <c r="E83" s="1420"/>
      <c r="F83" s="1420">
        <f t="shared" si="33"/>
        <v>0</v>
      </c>
      <c r="G83" s="1419">
        <v>9000</v>
      </c>
      <c r="H83" s="1419"/>
      <c r="I83" s="1421">
        <f>+G83-H83</f>
        <v>9000</v>
      </c>
      <c r="J83" s="1419"/>
      <c r="K83" s="1420">
        <v>9000</v>
      </c>
      <c r="L83" s="1420">
        <f>+J83-K83</f>
        <v>-9000</v>
      </c>
      <c r="M83" s="1416"/>
      <c r="N83" s="1421"/>
      <c r="O83" s="1422">
        <f>+M83-N83</f>
        <v>0</v>
      </c>
      <c r="P83" s="1422"/>
      <c r="Q83" s="1422"/>
      <c r="R83" s="1422">
        <f>+P83-Q83</f>
        <v>0</v>
      </c>
      <c r="S83" s="1422"/>
      <c r="T83" s="1422"/>
      <c r="U83" s="1422">
        <f t="shared" si="28"/>
        <v>0</v>
      </c>
      <c r="V83" s="1422">
        <v>0</v>
      </c>
      <c r="W83" s="1422">
        <v>0</v>
      </c>
      <c r="X83" s="1422">
        <f t="shared" si="29"/>
        <v>0</v>
      </c>
      <c r="Y83" s="1423">
        <f t="shared" si="30"/>
        <v>9000</v>
      </c>
      <c r="Z83" s="1424">
        <f t="shared" si="31"/>
        <v>9000</v>
      </c>
      <c r="AA83" s="1425">
        <f t="shared" si="32"/>
        <v>0</v>
      </c>
      <c r="AB83" s="1426">
        <f>+AA83/Y83</f>
        <v>0</v>
      </c>
      <c r="AC83" s="1431"/>
    </row>
    <row r="84" spans="1:29">
      <c r="A84" s="1416" t="s">
        <v>943</v>
      </c>
      <c r="B84" s="1457" t="s">
        <v>944</v>
      </c>
      <c r="C84" s="1416" t="s">
        <v>939</v>
      </c>
      <c r="D84" s="1419">
        <v>2700</v>
      </c>
      <c r="E84" s="1420"/>
      <c r="F84" s="1420">
        <f t="shared" si="33"/>
        <v>2700</v>
      </c>
      <c r="G84" s="1419"/>
      <c r="H84" s="1419"/>
      <c r="I84" s="1421">
        <f>+G84-H84</f>
        <v>0</v>
      </c>
      <c r="J84" s="1416"/>
      <c r="K84" s="1421"/>
      <c r="L84" s="1420">
        <f>+J84-K84</f>
        <v>0</v>
      </c>
      <c r="M84" s="1419"/>
      <c r="N84" s="1420"/>
      <c r="O84" s="1422">
        <f>+M84-N84</f>
        <v>0</v>
      </c>
      <c r="P84" s="1422"/>
      <c r="Q84" s="1422">
        <v>2738.03</v>
      </c>
      <c r="R84" s="1422">
        <f>+P84-Q84</f>
        <v>-2738.03</v>
      </c>
      <c r="S84" s="1422"/>
      <c r="T84" s="1422"/>
      <c r="U84" s="1422">
        <f t="shared" si="28"/>
        <v>0</v>
      </c>
      <c r="V84" s="1422">
        <v>0</v>
      </c>
      <c r="W84" s="1422">
        <v>0</v>
      </c>
      <c r="X84" s="1422">
        <f t="shared" si="29"/>
        <v>0</v>
      </c>
      <c r="Y84" s="1423">
        <f t="shared" si="30"/>
        <v>2700</v>
      </c>
      <c r="Z84" s="1424">
        <f t="shared" si="31"/>
        <v>2738.03</v>
      </c>
      <c r="AA84" s="1425">
        <f t="shared" si="32"/>
        <v>-38.0300000000002</v>
      </c>
      <c r="AB84" s="1426">
        <f>+AA84/Y84</f>
        <v>-1.408518518518526E-2</v>
      </c>
      <c r="AC84" s="1427"/>
    </row>
    <row r="85" spans="1:29" ht="23.45" customHeight="1">
      <c r="A85" s="1416" t="s">
        <v>945</v>
      </c>
      <c r="B85" s="1457" t="s">
        <v>946</v>
      </c>
      <c r="C85" s="1416" t="s">
        <v>939</v>
      </c>
      <c r="D85" s="1416"/>
      <c r="E85" s="1421"/>
      <c r="F85" s="1420">
        <f t="shared" si="33"/>
        <v>0</v>
      </c>
      <c r="G85" s="1419">
        <v>4500</v>
      </c>
      <c r="H85" s="1419"/>
      <c r="I85" s="1421">
        <f>+G85-H85</f>
        <v>4500</v>
      </c>
      <c r="J85" s="1419"/>
      <c r="K85" s="1420">
        <v>4500</v>
      </c>
      <c r="L85" s="1420">
        <f>+J85-K85</f>
        <v>-4500</v>
      </c>
      <c r="M85" s="1419"/>
      <c r="N85" s="1420"/>
      <c r="O85" s="1422">
        <f>+M85-N85</f>
        <v>0</v>
      </c>
      <c r="P85" s="1422"/>
      <c r="Q85" s="1422">
        <f>-282.74+2950.82</f>
        <v>2668.08</v>
      </c>
      <c r="R85" s="1422">
        <f>+P85-Q85</f>
        <v>-2668.08</v>
      </c>
      <c r="S85" s="1422"/>
      <c r="T85" s="1422"/>
      <c r="U85" s="1422">
        <f t="shared" si="28"/>
        <v>0</v>
      </c>
      <c r="V85" s="1422">
        <v>0</v>
      </c>
      <c r="W85" s="1422">
        <v>0</v>
      </c>
      <c r="X85" s="1422">
        <f t="shared" si="29"/>
        <v>0</v>
      </c>
      <c r="Y85" s="1423">
        <f t="shared" si="30"/>
        <v>4500</v>
      </c>
      <c r="Z85" s="1424">
        <f t="shared" si="31"/>
        <v>7168.08</v>
      </c>
      <c r="AA85" s="1425">
        <f t="shared" si="32"/>
        <v>-2668.08</v>
      </c>
      <c r="AB85" s="1426">
        <f>+AA85/Y85</f>
        <v>-0.59290666666666669</v>
      </c>
      <c r="AC85" s="1427" t="s">
        <v>947</v>
      </c>
    </row>
    <row r="86" spans="1:29" ht="20.45" customHeight="1">
      <c r="A86" s="2760" t="s">
        <v>948</v>
      </c>
      <c r="B86" s="2761"/>
      <c r="C86" s="1416"/>
      <c r="D86" s="1434"/>
      <c r="E86" s="1435"/>
      <c r="F86" s="1420">
        <f t="shared" si="33"/>
        <v>0</v>
      </c>
      <c r="G86" s="1434"/>
      <c r="H86" s="1434"/>
      <c r="I86" s="1421"/>
      <c r="J86" s="1434"/>
      <c r="K86" s="1435"/>
      <c r="L86" s="1420"/>
      <c r="M86" s="1434"/>
      <c r="N86" s="1435"/>
      <c r="O86" s="1422"/>
      <c r="P86" s="1422"/>
      <c r="Q86" s="1422"/>
      <c r="R86" s="1422"/>
      <c r="S86" s="1422"/>
      <c r="T86" s="1422"/>
      <c r="U86" s="1422">
        <f t="shared" si="28"/>
        <v>0</v>
      </c>
      <c r="V86" s="1422">
        <v>0</v>
      </c>
      <c r="W86" s="1422">
        <v>0</v>
      </c>
      <c r="X86" s="1422">
        <f t="shared" si="29"/>
        <v>0</v>
      </c>
      <c r="Y86" s="1423">
        <f t="shared" si="30"/>
        <v>0</v>
      </c>
      <c r="Z86" s="1424">
        <f t="shared" si="31"/>
        <v>0</v>
      </c>
      <c r="AA86" s="1425">
        <f t="shared" si="32"/>
        <v>0</v>
      </c>
      <c r="AB86" s="1426">
        <v>0</v>
      </c>
      <c r="AC86" s="1431"/>
    </row>
    <row r="87" spans="1:29">
      <c r="A87" s="1416" t="s">
        <v>949</v>
      </c>
      <c r="B87" s="1440" t="s">
        <v>950</v>
      </c>
      <c r="C87" s="1416" t="s">
        <v>853</v>
      </c>
      <c r="D87" s="1419">
        <v>1950</v>
      </c>
      <c r="E87" s="1420">
        <v>868.81</v>
      </c>
      <c r="F87" s="1420">
        <f t="shared" si="33"/>
        <v>1081.19</v>
      </c>
      <c r="G87" s="1419">
        <v>1950</v>
      </c>
      <c r="H87" s="1419"/>
      <c r="I87" s="1421">
        <f t="shared" ref="I87:I94" si="38">+G87-H87</f>
        <v>1950</v>
      </c>
      <c r="J87" s="1419">
        <v>1950</v>
      </c>
      <c r="K87" s="1420"/>
      <c r="L87" s="1420">
        <f t="shared" ref="L87:L94" si="39">+J87-K87</f>
        <v>1950</v>
      </c>
      <c r="M87" s="1419">
        <v>1950</v>
      </c>
      <c r="N87" s="1420">
        <v>0</v>
      </c>
      <c r="O87" s="1422">
        <f t="shared" ref="O87:O94" si="40">+M87-N87</f>
        <v>1950</v>
      </c>
      <c r="P87" s="1422">
        <v>6000</v>
      </c>
      <c r="Q87" s="1422">
        <v>632.77</v>
      </c>
      <c r="R87" s="1422">
        <f t="shared" ref="R87:R94" si="41">+P87-Q87</f>
        <v>5367.23</v>
      </c>
      <c r="S87" s="1422">
        <v>6000</v>
      </c>
      <c r="T87" s="1422">
        <f>7182.74+2942.69</f>
        <v>10125.43</v>
      </c>
      <c r="U87" s="1422">
        <f t="shared" si="28"/>
        <v>-4125.43</v>
      </c>
      <c r="V87" s="1422">
        <v>6000</v>
      </c>
      <c r="W87" s="1422">
        <v>2012.8719418117701</v>
      </c>
      <c r="X87" s="1422">
        <f t="shared" si="29"/>
        <v>3987.1280581882302</v>
      </c>
      <c r="Y87" s="1423">
        <f t="shared" si="30"/>
        <v>25800</v>
      </c>
      <c r="Z87" s="1424">
        <f t="shared" si="31"/>
        <v>13639.881941811771</v>
      </c>
      <c r="AA87" s="1425">
        <f t="shared" si="32"/>
        <v>12160.118058188229</v>
      </c>
      <c r="AB87" s="1426">
        <f t="shared" ref="AB87:AB92" si="42">+AA87/Y87</f>
        <v>0.4713224053561329</v>
      </c>
      <c r="AC87" s="1427" t="s">
        <v>951</v>
      </c>
    </row>
    <row r="88" spans="1:29">
      <c r="A88" s="1416" t="s">
        <v>952</v>
      </c>
      <c r="B88" s="1417" t="s">
        <v>953</v>
      </c>
      <c r="C88" s="1416" t="s">
        <v>853</v>
      </c>
      <c r="D88" s="1419">
        <v>25000</v>
      </c>
      <c r="E88" s="1420"/>
      <c r="F88" s="1420">
        <f t="shared" si="33"/>
        <v>25000</v>
      </c>
      <c r="G88" s="1419">
        <v>25000</v>
      </c>
      <c r="H88" s="1419"/>
      <c r="I88" s="1421">
        <f t="shared" si="38"/>
        <v>25000</v>
      </c>
      <c r="J88" s="1419"/>
      <c r="K88" s="1420"/>
      <c r="L88" s="1420">
        <f t="shared" si="39"/>
        <v>0</v>
      </c>
      <c r="M88" s="1419"/>
      <c r="N88" s="1420">
        <v>758.34403080872914</v>
      </c>
      <c r="O88" s="1422">
        <f t="shared" si="40"/>
        <v>-758.34403080872914</v>
      </c>
      <c r="P88" s="1422"/>
      <c r="Q88" s="1422"/>
      <c r="R88" s="1422">
        <f t="shared" si="41"/>
        <v>0</v>
      </c>
      <c r="S88" s="1422"/>
      <c r="T88" s="1422">
        <v>25532.34</v>
      </c>
      <c r="U88" s="1422">
        <f t="shared" si="28"/>
        <v>-25532.34</v>
      </c>
      <c r="V88" s="1422"/>
      <c r="W88" s="1422">
        <v>1215.8254353096761</v>
      </c>
      <c r="X88" s="1422">
        <f t="shared" si="29"/>
        <v>-1215.8254353096761</v>
      </c>
      <c r="Y88" s="1423">
        <f t="shared" si="30"/>
        <v>50000</v>
      </c>
      <c r="Z88" s="1424">
        <f t="shared" si="31"/>
        <v>27506.509466118405</v>
      </c>
      <c r="AA88" s="1425">
        <f t="shared" si="32"/>
        <v>22493.490533881595</v>
      </c>
      <c r="AB88" s="1426">
        <f t="shared" si="42"/>
        <v>0.44986981067763188</v>
      </c>
      <c r="AC88" s="1427" t="s">
        <v>917</v>
      </c>
    </row>
    <row r="89" spans="1:29">
      <c r="A89" s="1416" t="s">
        <v>954</v>
      </c>
      <c r="B89" s="1417" t="s">
        <v>934</v>
      </c>
      <c r="C89" s="1416" t="s">
        <v>853</v>
      </c>
      <c r="D89" s="1419">
        <v>1251</v>
      </c>
      <c r="E89" s="1420">
        <v>6010.32</v>
      </c>
      <c r="F89" s="1420">
        <f t="shared" si="33"/>
        <v>-4759.32</v>
      </c>
      <c r="G89" s="1419">
        <v>1251</v>
      </c>
      <c r="H89" s="1419">
        <v>32.19</v>
      </c>
      <c r="I89" s="1421">
        <f t="shared" si="38"/>
        <v>1218.81</v>
      </c>
      <c r="J89" s="1419">
        <v>1251</v>
      </c>
      <c r="K89" s="1420">
        <v>946.73</v>
      </c>
      <c r="L89" s="1420">
        <f t="shared" si="39"/>
        <v>304.27</v>
      </c>
      <c r="M89" s="1419">
        <v>1251</v>
      </c>
      <c r="N89" s="1420">
        <v>408.9430894308943</v>
      </c>
      <c r="O89" s="1422">
        <f t="shared" si="40"/>
        <v>842.05691056910564</v>
      </c>
      <c r="P89" s="1422">
        <v>2460</v>
      </c>
      <c r="Q89" s="1422">
        <v>751.67</v>
      </c>
      <c r="R89" s="1422">
        <f t="shared" si="41"/>
        <v>1708.33</v>
      </c>
      <c r="S89" s="1422">
        <v>2460</v>
      </c>
      <c r="T89" s="1422">
        <v>1933.22</v>
      </c>
      <c r="U89" s="1422">
        <f t="shared" si="28"/>
        <v>526.78</v>
      </c>
      <c r="V89" s="1422">
        <v>2460</v>
      </c>
      <c r="W89" s="1422">
        <v>1881.4635221512012</v>
      </c>
      <c r="X89" s="1422">
        <f t="shared" si="29"/>
        <v>578.53647784879877</v>
      </c>
      <c r="Y89" s="1423">
        <f t="shared" si="30"/>
        <v>12384</v>
      </c>
      <c r="Z89" s="1424">
        <f t="shared" si="31"/>
        <v>11964.536611582096</v>
      </c>
      <c r="AA89" s="1425">
        <f t="shared" si="32"/>
        <v>419.46338841790384</v>
      </c>
      <c r="AB89" s="1426">
        <f t="shared" si="42"/>
        <v>3.3871397643564588E-2</v>
      </c>
      <c r="AC89" s="1427"/>
    </row>
    <row r="90" spans="1:29" ht="24">
      <c r="A90" s="1461" t="s">
        <v>955</v>
      </c>
      <c r="B90" s="1462" t="s">
        <v>956</v>
      </c>
      <c r="C90" s="1416" t="s">
        <v>853</v>
      </c>
      <c r="D90" s="1419">
        <v>8100</v>
      </c>
      <c r="E90" s="1420">
        <v>3587.12</v>
      </c>
      <c r="F90" s="1420">
        <f t="shared" si="33"/>
        <v>4512.88</v>
      </c>
      <c r="G90" s="1419"/>
      <c r="H90" s="1419"/>
      <c r="I90" s="1421">
        <f t="shared" si="38"/>
        <v>0</v>
      </c>
      <c r="J90" s="1419">
        <v>8100</v>
      </c>
      <c r="K90" s="1420"/>
      <c r="L90" s="1420">
        <f t="shared" si="39"/>
        <v>8100</v>
      </c>
      <c r="M90" s="1419"/>
      <c r="N90" s="1420">
        <v>7544.0842961061189</v>
      </c>
      <c r="O90" s="1422">
        <f t="shared" si="40"/>
        <v>-7544.0842961061189</v>
      </c>
      <c r="P90" s="1422">
        <v>5310</v>
      </c>
      <c r="Q90" s="1422">
        <v>4160.16</v>
      </c>
      <c r="R90" s="1422">
        <f t="shared" si="41"/>
        <v>1149.8400000000001</v>
      </c>
      <c r="S90" s="1422">
        <v>4950</v>
      </c>
      <c r="T90" s="1422">
        <v>1064.44</v>
      </c>
      <c r="U90" s="1422">
        <f t="shared" si="28"/>
        <v>3885.56</v>
      </c>
      <c r="V90" s="1422">
        <v>5310</v>
      </c>
      <c r="W90" s="1422">
        <v>8284.4390566453603</v>
      </c>
      <c r="X90" s="1422">
        <f t="shared" si="29"/>
        <v>-2974.4390566453603</v>
      </c>
      <c r="Y90" s="1423">
        <f t="shared" si="30"/>
        <v>31770</v>
      </c>
      <c r="Z90" s="1424">
        <f t="shared" si="31"/>
        <v>24640.24335275148</v>
      </c>
      <c r="AA90" s="1425">
        <f t="shared" si="32"/>
        <v>7129.7566472485196</v>
      </c>
      <c r="AB90" s="1426">
        <f t="shared" si="42"/>
        <v>0.22441789887467797</v>
      </c>
      <c r="AC90" s="1431" t="s">
        <v>880</v>
      </c>
    </row>
    <row r="91" spans="1:29">
      <c r="A91" s="1416" t="s">
        <v>957</v>
      </c>
      <c r="B91" s="1417" t="s">
        <v>958</v>
      </c>
      <c r="C91" s="1416" t="s">
        <v>853</v>
      </c>
      <c r="D91" s="1419"/>
      <c r="E91" s="1420"/>
      <c r="F91" s="1420">
        <f t="shared" si="33"/>
        <v>0</v>
      </c>
      <c r="G91" s="1419">
        <v>4580</v>
      </c>
      <c r="H91" s="1419">
        <v>133.58000000000001</v>
      </c>
      <c r="I91" s="1421">
        <f t="shared" si="38"/>
        <v>4446.42</v>
      </c>
      <c r="J91" s="1419"/>
      <c r="K91" s="1420"/>
      <c r="L91" s="1420">
        <f t="shared" si="39"/>
        <v>0</v>
      </c>
      <c r="M91" s="1416"/>
      <c r="N91" s="1421">
        <v>4711.4088575096275</v>
      </c>
      <c r="O91" s="1422">
        <f t="shared" si="40"/>
        <v>-4711.4088575096275</v>
      </c>
      <c r="P91" s="1422"/>
      <c r="Q91" s="1422"/>
      <c r="R91" s="1422">
        <f t="shared" si="41"/>
        <v>0</v>
      </c>
      <c r="S91" s="1422"/>
      <c r="T91" s="1422"/>
      <c r="U91" s="1422">
        <f t="shared" si="28"/>
        <v>0</v>
      </c>
      <c r="V91" s="1422">
        <v>0</v>
      </c>
      <c r="W91" s="1422">
        <v>0</v>
      </c>
      <c r="X91" s="1422">
        <f t="shared" si="29"/>
        <v>0</v>
      </c>
      <c r="Y91" s="1423">
        <f t="shared" si="30"/>
        <v>4580</v>
      </c>
      <c r="Z91" s="1424">
        <f t="shared" si="31"/>
        <v>4844.9888575096275</v>
      </c>
      <c r="AA91" s="1425">
        <f t="shared" si="32"/>
        <v>-264.98885750962745</v>
      </c>
      <c r="AB91" s="1426">
        <f t="shared" si="42"/>
        <v>-5.7857829150573678E-2</v>
      </c>
      <c r="AC91" s="1431" t="s">
        <v>959</v>
      </c>
    </row>
    <row r="92" spans="1:29">
      <c r="A92" s="1416" t="s">
        <v>960</v>
      </c>
      <c r="B92" s="1417" t="s">
        <v>961</v>
      </c>
      <c r="C92" s="1416" t="s">
        <v>853</v>
      </c>
      <c r="D92" s="1419">
        <v>270</v>
      </c>
      <c r="E92" s="1420"/>
      <c r="F92" s="1420">
        <f t="shared" si="33"/>
        <v>270</v>
      </c>
      <c r="G92" s="1419">
        <v>270</v>
      </c>
      <c r="H92" s="1419"/>
      <c r="I92" s="1421">
        <f t="shared" si="38"/>
        <v>270</v>
      </c>
      <c r="J92" s="1419">
        <v>270</v>
      </c>
      <c r="K92" s="1420">
        <v>928.06</v>
      </c>
      <c r="L92" s="1420">
        <f t="shared" si="39"/>
        <v>-658.06</v>
      </c>
      <c r="M92" s="1419">
        <v>270</v>
      </c>
      <c r="N92" s="1420">
        <v>84.082156611039792</v>
      </c>
      <c r="O92" s="1422">
        <f t="shared" si="40"/>
        <v>185.91784338896019</v>
      </c>
      <c r="P92" s="1422"/>
      <c r="Q92" s="1422">
        <v>54.5</v>
      </c>
      <c r="R92" s="1422">
        <f t="shared" si="41"/>
        <v>-54.5</v>
      </c>
      <c r="S92" s="1422"/>
      <c r="T92" s="1422"/>
      <c r="U92" s="1422">
        <f t="shared" si="28"/>
        <v>0</v>
      </c>
      <c r="V92" s="1422">
        <v>0</v>
      </c>
      <c r="W92" s="1422">
        <v>0</v>
      </c>
      <c r="X92" s="1422">
        <f t="shared" si="29"/>
        <v>0</v>
      </c>
      <c r="Y92" s="1423">
        <f t="shared" si="30"/>
        <v>1080</v>
      </c>
      <c r="Z92" s="1424">
        <f t="shared" si="31"/>
        <v>1066.6421566110398</v>
      </c>
      <c r="AA92" s="1425">
        <f t="shared" si="32"/>
        <v>13.357843388960191</v>
      </c>
      <c r="AB92" s="1426">
        <f t="shared" si="42"/>
        <v>1.2368373508296473E-2</v>
      </c>
      <c r="AC92" s="1431" t="s">
        <v>959</v>
      </c>
    </row>
    <row r="93" spans="1:29">
      <c r="A93" s="1416" t="s">
        <v>962</v>
      </c>
      <c r="B93" s="1417" t="s">
        <v>963</v>
      </c>
      <c r="C93" s="1416" t="s">
        <v>853</v>
      </c>
      <c r="D93" s="1419"/>
      <c r="E93" s="1420">
        <f>1091.18+191.79</f>
        <v>1282.97</v>
      </c>
      <c r="F93" s="1420">
        <f t="shared" si="33"/>
        <v>-1282.97</v>
      </c>
      <c r="G93" s="1419"/>
      <c r="H93" s="1419">
        <v>2467.62</v>
      </c>
      <c r="I93" s="1421">
        <f t="shared" si="38"/>
        <v>-2467.62</v>
      </c>
      <c r="J93" s="1419"/>
      <c r="K93" s="1420"/>
      <c r="L93" s="1420">
        <f t="shared" si="39"/>
        <v>0</v>
      </c>
      <c r="M93" s="1419"/>
      <c r="N93" s="1448"/>
      <c r="O93" s="1422">
        <f t="shared" si="40"/>
        <v>0</v>
      </c>
      <c r="P93" s="1422"/>
      <c r="Q93" s="1422"/>
      <c r="R93" s="1422">
        <f t="shared" si="41"/>
        <v>0</v>
      </c>
      <c r="S93" s="1422"/>
      <c r="T93" s="1422"/>
      <c r="U93" s="1422">
        <f t="shared" si="28"/>
        <v>0</v>
      </c>
      <c r="V93" s="1422">
        <v>0</v>
      </c>
      <c r="W93" s="1422">
        <v>0</v>
      </c>
      <c r="X93" s="1422">
        <f t="shared" si="29"/>
        <v>0</v>
      </c>
      <c r="Y93" s="1423">
        <f t="shared" si="30"/>
        <v>0</v>
      </c>
      <c r="Z93" s="1424">
        <f t="shared" si="31"/>
        <v>3750.59</v>
      </c>
      <c r="AA93" s="1425">
        <f t="shared" si="32"/>
        <v>-3750.59</v>
      </c>
      <c r="AB93" s="1426">
        <v>0</v>
      </c>
      <c r="AC93" s="1427"/>
    </row>
    <row r="94" spans="1:29" ht="24">
      <c r="A94" s="1416" t="s">
        <v>964</v>
      </c>
      <c r="B94" s="1417" t="s">
        <v>965</v>
      </c>
      <c r="C94" s="1416" t="s">
        <v>853</v>
      </c>
      <c r="D94" s="1419"/>
      <c r="E94" s="1420">
        <v>16661.599999999999</v>
      </c>
      <c r="F94" s="1420">
        <f t="shared" si="33"/>
        <v>-16661.599999999999</v>
      </c>
      <c r="G94" s="1419"/>
      <c r="H94" s="1419">
        <v>29070.62</v>
      </c>
      <c r="I94" s="1421">
        <f t="shared" si="38"/>
        <v>-29070.62</v>
      </c>
      <c r="J94" s="1419"/>
      <c r="K94" s="1420"/>
      <c r="L94" s="1420">
        <f t="shared" si="39"/>
        <v>0</v>
      </c>
      <c r="M94" s="1419"/>
      <c r="N94" s="1448"/>
      <c r="O94" s="1422">
        <f t="shared" si="40"/>
        <v>0</v>
      </c>
      <c r="P94" s="1422"/>
      <c r="Q94" s="1422"/>
      <c r="R94" s="1422">
        <f t="shared" si="41"/>
        <v>0</v>
      </c>
      <c r="S94" s="1422"/>
      <c r="T94" s="1422"/>
      <c r="U94" s="1422">
        <f t="shared" si="28"/>
        <v>0</v>
      </c>
      <c r="V94" s="1422">
        <v>0</v>
      </c>
      <c r="W94" s="1422">
        <v>0</v>
      </c>
      <c r="X94" s="1422">
        <f t="shared" si="29"/>
        <v>0</v>
      </c>
      <c r="Y94" s="1423">
        <f t="shared" si="30"/>
        <v>0</v>
      </c>
      <c r="Z94" s="1424">
        <f t="shared" si="31"/>
        <v>45732.22</v>
      </c>
      <c r="AA94" s="1425">
        <f t="shared" si="32"/>
        <v>-45732.22</v>
      </c>
      <c r="AB94" s="1426">
        <v>0</v>
      </c>
      <c r="AC94" s="1427" t="s">
        <v>915</v>
      </c>
    </row>
    <row r="95" spans="1:29" ht="24.6" customHeight="1">
      <c r="A95" s="2760" t="s">
        <v>966</v>
      </c>
      <c r="B95" s="2761"/>
      <c r="C95" s="1416"/>
      <c r="D95" s="1434"/>
      <c r="E95" s="1435"/>
      <c r="F95" s="1420"/>
      <c r="G95" s="1434"/>
      <c r="H95" s="1434"/>
      <c r="I95" s="1421"/>
      <c r="J95" s="1434"/>
      <c r="K95" s="1435"/>
      <c r="L95" s="1420"/>
      <c r="M95" s="1434"/>
      <c r="N95" s="1435"/>
      <c r="O95" s="1422"/>
      <c r="P95" s="1422"/>
      <c r="Q95" s="1422"/>
      <c r="R95" s="1422"/>
      <c r="S95" s="1422"/>
      <c r="T95" s="1422"/>
      <c r="U95" s="1422">
        <f t="shared" si="28"/>
        <v>0</v>
      </c>
      <c r="V95" s="1422">
        <v>0</v>
      </c>
      <c r="W95" s="1422">
        <v>0</v>
      </c>
      <c r="X95" s="1422">
        <f t="shared" si="29"/>
        <v>0</v>
      </c>
      <c r="Y95" s="1423">
        <f t="shared" si="30"/>
        <v>0</v>
      </c>
      <c r="Z95" s="1424">
        <f t="shared" si="31"/>
        <v>0</v>
      </c>
      <c r="AA95" s="1425">
        <f t="shared" si="32"/>
        <v>0</v>
      </c>
      <c r="AB95" s="1426">
        <v>0</v>
      </c>
      <c r="AC95" s="1431"/>
    </row>
    <row r="96" spans="1:29">
      <c r="A96" s="1416" t="s">
        <v>967</v>
      </c>
      <c r="B96" s="1417" t="s">
        <v>968</v>
      </c>
      <c r="C96" s="1416" t="s">
        <v>853</v>
      </c>
      <c r="D96" s="1419">
        <v>11210</v>
      </c>
      <c r="E96" s="1420"/>
      <c r="F96" s="1420">
        <f>+D96-E96</f>
        <v>11210</v>
      </c>
      <c r="G96" s="1416"/>
      <c r="H96" s="1416"/>
      <c r="I96" s="1421">
        <f>+G96-H96</f>
        <v>0</v>
      </c>
      <c r="J96" s="1434"/>
      <c r="K96" s="1420">
        <v>14302.44</v>
      </c>
      <c r="L96" s="1420">
        <f>+J96-K96</f>
        <v>-14302.44</v>
      </c>
      <c r="M96" s="1434"/>
      <c r="N96" s="1420">
        <v>1350.5776636713736</v>
      </c>
      <c r="O96" s="1422">
        <f>+M96-N96</f>
        <v>-1350.5776636713736</v>
      </c>
      <c r="P96" s="1422"/>
      <c r="Q96" s="1422"/>
      <c r="R96" s="1422"/>
      <c r="S96" s="1422"/>
      <c r="T96" s="1422"/>
      <c r="U96" s="1422">
        <f t="shared" si="28"/>
        <v>0</v>
      </c>
      <c r="V96" s="1422">
        <v>0</v>
      </c>
      <c r="W96" s="1422">
        <v>0</v>
      </c>
      <c r="X96" s="1422">
        <f t="shared" si="29"/>
        <v>0</v>
      </c>
      <c r="Y96" s="1423">
        <f t="shared" si="30"/>
        <v>11210</v>
      </c>
      <c r="Z96" s="1424">
        <f t="shared" si="31"/>
        <v>15653.017663671373</v>
      </c>
      <c r="AA96" s="1425">
        <f t="shared" si="32"/>
        <v>-4443.0176636713732</v>
      </c>
      <c r="AB96" s="1426">
        <f>+AA96/Y96</f>
        <v>-0.3963441270001225</v>
      </c>
      <c r="AC96" s="1427" t="s">
        <v>969</v>
      </c>
    </row>
    <row r="97" spans="1:29" ht="18.600000000000001" customHeight="1">
      <c r="A97" s="1416" t="s">
        <v>970</v>
      </c>
      <c r="B97" s="1440" t="s">
        <v>971</v>
      </c>
      <c r="C97" s="1416" t="s">
        <v>853</v>
      </c>
      <c r="D97" s="1416"/>
      <c r="E97" s="1421">
        <v>17625.95</v>
      </c>
      <c r="F97" s="1420">
        <f>+D97-E97</f>
        <v>-17625.95</v>
      </c>
      <c r="G97" s="1419">
        <v>15000</v>
      </c>
      <c r="H97" s="1419">
        <v>3880.63</v>
      </c>
      <c r="I97" s="1421">
        <f>+G97-H97</f>
        <v>11119.369999999999</v>
      </c>
      <c r="J97" s="1434"/>
      <c r="K97" s="1435"/>
      <c r="L97" s="1420">
        <f>+J97-K97</f>
        <v>0</v>
      </c>
      <c r="M97" s="1416"/>
      <c r="N97" s="1421">
        <v>15000</v>
      </c>
      <c r="O97" s="1422">
        <f>+M97-N97</f>
        <v>-15000</v>
      </c>
      <c r="P97" s="1422"/>
      <c r="Q97" s="1422"/>
      <c r="R97" s="1422"/>
      <c r="S97" s="1422"/>
      <c r="T97" s="1422"/>
      <c r="U97" s="1422">
        <f t="shared" si="28"/>
        <v>0</v>
      </c>
      <c r="V97" s="1422">
        <v>0</v>
      </c>
      <c r="W97" s="1422">
        <v>0</v>
      </c>
      <c r="X97" s="1422">
        <f t="shared" si="29"/>
        <v>0</v>
      </c>
      <c r="Y97" s="1423">
        <f t="shared" si="30"/>
        <v>15000</v>
      </c>
      <c r="Z97" s="1424">
        <f t="shared" si="31"/>
        <v>36506.58</v>
      </c>
      <c r="AA97" s="1425">
        <f t="shared" si="32"/>
        <v>-21506.58</v>
      </c>
      <c r="AB97" s="1426">
        <f>+AA97/Y97</f>
        <v>-1.433772</v>
      </c>
      <c r="AC97" s="1427" t="s">
        <v>969</v>
      </c>
    </row>
    <row r="98" spans="1:29" ht="27.95" customHeight="1">
      <c r="A98" s="2760" t="s">
        <v>972</v>
      </c>
      <c r="B98" s="2761"/>
      <c r="C98" s="1416"/>
      <c r="D98" s="1434"/>
      <c r="E98" s="1435"/>
      <c r="F98" s="1420">
        <f>+D98-E98</f>
        <v>0</v>
      </c>
      <c r="G98" s="1434"/>
      <c r="H98" s="1434"/>
      <c r="I98" s="1421"/>
      <c r="J98" s="1434"/>
      <c r="K98" s="1435"/>
      <c r="L98" s="1420"/>
      <c r="M98" s="1434"/>
      <c r="N98" s="1435"/>
      <c r="O98" s="1422"/>
      <c r="P98" s="1422"/>
      <c r="Q98" s="1422"/>
      <c r="R98" s="1422"/>
      <c r="S98" s="1422"/>
      <c r="T98" s="1422"/>
      <c r="U98" s="1422">
        <f t="shared" si="28"/>
        <v>0</v>
      </c>
      <c r="V98" s="1422">
        <v>0</v>
      </c>
      <c r="W98" s="1422">
        <v>0</v>
      </c>
      <c r="X98" s="1422">
        <f t="shared" si="29"/>
        <v>0</v>
      </c>
      <c r="Y98" s="1423">
        <f t="shared" si="30"/>
        <v>0</v>
      </c>
      <c r="Z98" s="1424">
        <f t="shared" si="31"/>
        <v>0</v>
      </c>
      <c r="AA98" s="1425">
        <f t="shared" si="32"/>
        <v>0</v>
      </c>
      <c r="AB98" s="1426">
        <v>0</v>
      </c>
      <c r="AC98" s="1431"/>
    </row>
    <row r="99" spans="1:29" ht="18.95" customHeight="1">
      <c r="A99" s="1416" t="s">
        <v>973</v>
      </c>
      <c r="B99" s="1440" t="s">
        <v>974</v>
      </c>
      <c r="C99" s="1416" t="s">
        <v>853</v>
      </c>
      <c r="D99" s="1434"/>
      <c r="E99" s="1420">
        <f>2308.74+6180.51</f>
        <v>8489.25</v>
      </c>
      <c r="F99" s="1420">
        <f>+D99-E99</f>
        <v>-8489.25</v>
      </c>
      <c r="G99" s="1434"/>
      <c r="H99" s="1419">
        <v>3653.89</v>
      </c>
      <c r="I99" s="1421">
        <f>+G99-H99</f>
        <v>-3653.89</v>
      </c>
      <c r="J99" s="1419">
        <v>7930</v>
      </c>
      <c r="K99" s="1420"/>
      <c r="L99" s="1420">
        <f>+J99-K99</f>
        <v>7930</v>
      </c>
      <c r="M99" s="1416"/>
      <c r="N99" s="1421">
        <v>7930</v>
      </c>
      <c r="O99" s="1422">
        <f>+M99-N99</f>
        <v>-7930</v>
      </c>
      <c r="P99" s="1422"/>
      <c r="Q99" s="1422"/>
      <c r="R99" s="1422"/>
      <c r="S99" s="1422">
        <v>7650</v>
      </c>
      <c r="T99" s="1422"/>
      <c r="U99" s="1422">
        <f t="shared" si="28"/>
        <v>7650</v>
      </c>
      <c r="V99" s="1422">
        <v>0</v>
      </c>
      <c r="W99" s="1422">
        <v>0</v>
      </c>
      <c r="X99" s="1422">
        <f t="shared" si="29"/>
        <v>0</v>
      </c>
      <c r="Y99" s="1423">
        <f t="shared" si="30"/>
        <v>15580</v>
      </c>
      <c r="Z99" s="1424">
        <f t="shared" si="31"/>
        <v>20073.14</v>
      </c>
      <c r="AA99" s="1425">
        <f t="shared" si="32"/>
        <v>-4493.1399999999994</v>
      </c>
      <c r="AB99" s="1426">
        <f>+AA99/Y99</f>
        <v>-0.2883915275994865</v>
      </c>
      <c r="AC99" s="1427" t="s">
        <v>969</v>
      </c>
    </row>
    <row r="100" spans="1:29" ht="18.95" customHeight="1">
      <c r="A100" s="1416" t="s">
        <v>975</v>
      </c>
      <c r="B100" s="1440" t="s">
        <v>976</v>
      </c>
      <c r="C100" s="1416"/>
      <c r="D100" s="1434"/>
      <c r="E100" s="1420"/>
      <c r="F100" s="1420"/>
      <c r="G100" s="1434"/>
      <c r="H100" s="1419"/>
      <c r="I100" s="1421"/>
      <c r="J100" s="1419"/>
      <c r="K100" s="1420"/>
      <c r="L100" s="1420"/>
      <c r="M100" s="1416"/>
      <c r="N100" s="1463"/>
      <c r="O100" s="1422"/>
      <c r="P100" s="1422"/>
      <c r="Q100" s="1422"/>
      <c r="R100" s="1422"/>
      <c r="S100" s="1422"/>
      <c r="T100" s="1422"/>
      <c r="U100" s="1422"/>
      <c r="V100" s="1422">
        <v>16679</v>
      </c>
      <c r="W100" s="1422">
        <v>666.12298875909198</v>
      </c>
      <c r="X100" s="1422">
        <f t="shared" si="29"/>
        <v>16012.877011240907</v>
      </c>
      <c r="Y100" s="1423">
        <f t="shared" si="30"/>
        <v>16679</v>
      </c>
      <c r="Z100" s="1424">
        <f t="shared" si="31"/>
        <v>666.12298875909198</v>
      </c>
      <c r="AA100" s="1425">
        <f t="shared" si="32"/>
        <v>16012.877011240907</v>
      </c>
      <c r="AB100" s="1426"/>
      <c r="AC100" s="1427"/>
    </row>
    <row r="101" spans="1:29" ht="24">
      <c r="A101" s="1416" t="s">
        <v>977</v>
      </c>
      <c r="B101" s="1440" t="s">
        <v>978</v>
      </c>
      <c r="C101" s="1416" t="s">
        <v>853</v>
      </c>
      <c r="D101" s="1464"/>
      <c r="E101" s="1420">
        <v>27508.1</v>
      </c>
      <c r="F101" s="1420">
        <f>+D101-E101</f>
        <v>-27508.1</v>
      </c>
      <c r="G101" s="1434"/>
      <c r="H101" s="1434"/>
      <c r="I101" s="1421">
        <f>+G101-H101</f>
        <v>0</v>
      </c>
      <c r="J101" s="1419"/>
      <c r="K101" s="1420"/>
      <c r="L101" s="1420">
        <f>+J101-K101</f>
        <v>0</v>
      </c>
      <c r="M101" s="1416"/>
      <c r="N101" s="1463"/>
      <c r="O101" s="1422">
        <f>+M101-N101</f>
        <v>0</v>
      </c>
      <c r="P101" s="1422"/>
      <c r="Q101" s="1422"/>
      <c r="R101" s="1422"/>
      <c r="S101" s="1422"/>
      <c r="T101" s="1422"/>
      <c r="U101" s="1422">
        <f>+S101-T101</f>
        <v>0</v>
      </c>
      <c r="W101" s="1422">
        <v>0</v>
      </c>
      <c r="X101" s="1422">
        <f>+V101-W101</f>
        <v>0</v>
      </c>
      <c r="Y101" s="1423">
        <f t="shared" si="30"/>
        <v>0</v>
      </c>
      <c r="Z101" s="1424">
        <f t="shared" si="31"/>
        <v>27508.1</v>
      </c>
      <c r="AA101" s="1425">
        <f t="shared" si="32"/>
        <v>-27508.1</v>
      </c>
      <c r="AB101" s="1426">
        <v>0</v>
      </c>
      <c r="AC101" s="1427" t="s">
        <v>915</v>
      </c>
    </row>
    <row r="102" spans="1:29" ht="17.100000000000001" customHeight="1">
      <c r="A102" s="2760" t="s">
        <v>979</v>
      </c>
      <c r="B102" s="2761"/>
      <c r="C102" s="1416"/>
      <c r="D102" s="1434"/>
      <c r="E102" s="1435"/>
      <c r="F102" s="1420">
        <f>+D102-E102</f>
        <v>0</v>
      </c>
      <c r="G102" s="1434"/>
      <c r="H102" s="1434"/>
      <c r="I102" s="1421"/>
      <c r="J102" s="1434"/>
      <c r="K102" s="1435"/>
      <c r="L102" s="1420"/>
      <c r="M102" s="1434"/>
      <c r="N102" s="1435"/>
      <c r="O102" s="1422"/>
      <c r="P102" s="1422"/>
      <c r="Q102" s="1422"/>
      <c r="R102" s="1422"/>
      <c r="S102" s="1422"/>
      <c r="T102" s="1422"/>
      <c r="U102" s="1422">
        <f>+S102-T102</f>
        <v>0</v>
      </c>
      <c r="V102" s="1422"/>
      <c r="W102" s="1422">
        <v>0</v>
      </c>
      <c r="X102" s="1422">
        <f>+V102-W102</f>
        <v>0</v>
      </c>
      <c r="Y102" s="1423">
        <f t="shared" si="30"/>
        <v>0</v>
      </c>
      <c r="Z102" s="1424">
        <f t="shared" si="31"/>
        <v>0</v>
      </c>
      <c r="AA102" s="1425">
        <f t="shared" si="32"/>
        <v>0</v>
      </c>
      <c r="AB102" s="1426">
        <v>0</v>
      </c>
      <c r="AC102" s="1431"/>
    </row>
    <row r="103" spans="1:29" ht="24.75" thickBot="1">
      <c r="A103" s="1416">
        <v>3.1</v>
      </c>
      <c r="B103" s="1417" t="s">
        <v>980</v>
      </c>
      <c r="C103" s="1416" t="s">
        <v>853</v>
      </c>
      <c r="D103" s="1434"/>
      <c r="E103" s="1435"/>
      <c r="F103" s="1420">
        <f>+D103-E103</f>
        <v>0</v>
      </c>
      <c r="G103" s="1434"/>
      <c r="H103" s="1434">
        <v>13640.39</v>
      </c>
      <c r="I103" s="1421">
        <f>+G103-H103</f>
        <v>-13640.39</v>
      </c>
      <c r="J103" s="1465">
        <v>40419</v>
      </c>
      <c r="K103" s="1435"/>
      <c r="L103" s="1420">
        <f>+J103-K103</f>
        <v>40419</v>
      </c>
      <c r="M103" s="1434"/>
      <c r="N103" s="1435"/>
      <c r="O103" s="1422">
        <f>+M103-N103</f>
        <v>0</v>
      </c>
      <c r="P103" s="1422"/>
      <c r="Q103" s="1422"/>
      <c r="R103" s="1422"/>
      <c r="S103" s="1422"/>
      <c r="T103" s="1422"/>
      <c r="U103" s="1422">
        <f>+S103-T103</f>
        <v>0</v>
      </c>
      <c r="V103" s="1422">
        <v>0</v>
      </c>
      <c r="W103" s="1422">
        <v>15425.698479171258</v>
      </c>
      <c r="X103" s="1422">
        <f>+V103-W103</f>
        <v>-15425.698479171258</v>
      </c>
      <c r="Y103" s="1423">
        <f t="shared" si="30"/>
        <v>40419</v>
      </c>
      <c r="Z103" s="1424">
        <f t="shared" si="31"/>
        <v>29066.08847917126</v>
      </c>
      <c r="AA103" s="1425">
        <f t="shared" si="32"/>
        <v>11352.91152082874</v>
      </c>
      <c r="AB103" s="1426">
        <f>+AA103/Y103</f>
        <v>0.28088056411164897</v>
      </c>
      <c r="AC103" s="1427" t="s">
        <v>981</v>
      </c>
    </row>
    <row r="104" spans="1:29" ht="13.5" thickBot="1">
      <c r="A104" s="1466"/>
      <c r="B104" s="1467" t="s">
        <v>982</v>
      </c>
      <c r="C104" s="1468"/>
      <c r="D104" s="1469">
        <f t="shared" ref="D104:AA104" si="43">SUM(D5:D103)</f>
        <v>170349.5</v>
      </c>
      <c r="E104" s="1469">
        <f t="shared" si="43"/>
        <v>206886.86000000002</v>
      </c>
      <c r="F104" s="1469">
        <f t="shared" si="43"/>
        <v>-36537.360000000001</v>
      </c>
      <c r="G104" s="1469">
        <f t="shared" si="43"/>
        <v>162429</v>
      </c>
      <c r="H104" s="1469">
        <f t="shared" si="43"/>
        <v>91862.890000000014</v>
      </c>
      <c r="I104" s="1469">
        <f t="shared" si="43"/>
        <v>70566.11</v>
      </c>
      <c r="J104" s="1469">
        <f t="shared" si="43"/>
        <v>159161</v>
      </c>
      <c r="K104" s="1469">
        <f t="shared" si="43"/>
        <v>169161.09000000003</v>
      </c>
      <c r="L104" s="1469">
        <f t="shared" si="43"/>
        <v>-10000.090000000011</v>
      </c>
      <c r="M104" s="1469">
        <f t="shared" si="43"/>
        <v>86999</v>
      </c>
      <c r="N104" s="1469">
        <f t="shared" si="43"/>
        <v>241587.89323919552</v>
      </c>
      <c r="O104" s="1469">
        <f t="shared" si="43"/>
        <v>-154588.89323919555</v>
      </c>
      <c r="P104" s="1469">
        <f t="shared" si="43"/>
        <v>132560.07</v>
      </c>
      <c r="Q104" s="1469">
        <f t="shared" si="43"/>
        <v>19009.239999999998</v>
      </c>
      <c r="R104" s="1469">
        <f t="shared" si="43"/>
        <v>113550.83000000002</v>
      </c>
      <c r="S104" s="1469">
        <f t="shared" si="43"/>
        <v>244572</v>
      </c>
      <c r="T104" s="1469">
        <f t="shared" si="43"/>
        <v>185602.93000000005</v>
      </c>
      <c r="U104" s="1469">
        <f t="shared" si="43"/>
        <v>58969.069999999949</v>
      </c>
      <c r="V104" s="1469">
        <f t="shared" si="43"/>
        <v>108107</v>
      </c>
      <c r="W104" s="1469">
        <f t="shared" si="43"/>
        <v>115734.66916464624</v>
      </c>
      <c r="X104" s="1469">
        <f t="shared" si="43"/>
        <v>-7627.6691646462459</v>
      </c>
      <c r="Y104" s="1469">
        <f t="shared" si="43"/>
        <v>1064177.57</v>
      </c>
      <c r="Z104" s="1469">
        <f t="shared" si="43"/>
        <v>1029845.5724038421</v>
      </c>
      <c r="AA104" s="1469">
        <f t="shared" si="43"/>
        <v>34331.997596158173</v>
      </c>
      <c r="AB104" s="1426">
        <f>+AA104/Y104</f>
        <v>3.2261530936193453E-2</v>
      </c>
      <c r="AC104" s="1470"/>
    </row>
    <row r="105" spans="1:29" ht="13.5" thickBot="1">
      <c r="A105" s="1471"/>
      <c r="B105" s="1558"/>
      <c r="C105" s="1559"/>
      <c r="D105" s="2763"/>
      <c r="E105" s="2764"/>
      <c r="F105" s="1472"/>
      <c r="G105" s="2765"/>
      <c r="H105" s="2766"/>
      <c r="I105" s="1472"/>
      <c r="J105" s="2765"/>
      <c r="K105" s="2766"/>
      <c r="L105" s="1472"/>
      <c r="M105" s="2765"/>
      <c r="N105" s="2766"/>
      <c r="O105" s="1472"/>
      <c r="P105" s="2765"/>
      <c r="Q105" s="2766"/>
      <c r="R105" s="1472"/>
      <c r="S105" s="1472"/>
      <c r="T105" s="1472"/>
      <c r="U105" s="1472"/>
      <c r="V105" s="1472"/>
      <c r="W105" s="1472"/>
      <c r="X105" s="1472"/>
      <c r="Y105" s="2765"/>
      <c r="Z105" s="2766"/>
      <c r="AA105" s="1473"/>
      <c r="AB105" s="1426"/>
      <c r="AC105" s="1470"/>
    </row>
    <row r="106" spans="1:29" ht="27.6" customHeight="1" thickBot="1">
      <c r="A106" s="1408"/>
      <c r="B106" s="2767" t="s">
        <v>1049</v>
      </c>
      <c r="C106" s="2768"/>
      <c r="D106" s="2768"/>
      <c r="E106" s="2769"/>
      <c r="F106" s="1442"/>
      <c r="G106" s="1408"/>
      <c r="H106" s="1408"/>
      <c r="I106" s="1408"/>
      <c r="J106" s="1408"/>
      <c r="K106" s="1474"/>
      <c r="L106" s="1474"/>
      <c r="M106" s="1475"/>
      <c r="N106" s="1476"/>
      <c r="O106" s="1475"/>
      <c r="P106" s="1475"/>
      <c r="Q106" s="1475"/>
      <c r="R106" s="1475"/>
      <c r="S106" s="1476"/>
      <c r="T106" s="1475"/>
      <c r="U106" s="1475"/>
      <c r="V106" s="1475"/>
      <c r="W106" s="1476"/>
      <c r="X106" s="1475"/>
      <c r="Y106" s="2771"/>
      <c r="Z106" s="2771"/>
      <c r="AA106" s="1477"/>
      <c r="AB106" s="1478"/>
      <c r="AC106" s="1409"/>
    </row>
    <row r="107" spans="1:29" ht="18.95" customHeight="1">
      <c r="A107" s="1408"/>
      <c r="B107" s="1543" t="s">
        <v>983</v>
      </c>
      <c r="C107" s="1544" t="s">
        <v>430</v>
      </c>
      <c r="D107" s="1545" t="s">
        <v>984</v>
      </c>
      <c r="E107" s="1546" t="s">
        <v>185</v>
      </c>
      <c r="F107" s="1438"/>
      <c r="G107" s="1408"/>
      <c r="H107" s="1408"/>
      <c r="I107" s="1408"/>
      <c r="J107" s="1408"/>
      <c r="K107" s="1442"/>
      <c r="L107" s="1442"/>
      <c r="M107" s="1475"/>
      <c r="N107" s="1475"/>
      <c r="O107" s="1475"/>
      <c r="P107" s="1475"/>
      <c r="Q107" s="1475"/>
      <c r="R107" s="1475"/>
      <c r="S107" s="1475"/>
      <c r="T107" s="1475"/>
      <c r="U107" s="1475"/>
      <c r="V107" s="1475"/>
      <c r="W107" s="1475"/>
      <c r="X107" s="1475"/>
      <c r="Y107" s="2772"/>
      <c r="Z107" s="2772"/>
      <c r="AA107" s="1479"/>
      <c r="AB107" s="1480"/>
      <c r="AC107" s="1409"/>
    </row>
    <row r="108" spans="1:29">
      <c r="A108" s="1408"/>
      <c r="B108" s="1555" t="s">
        <v>985</v>
      </c>
      <c r="C108" s="1481">
        <v>620602</v>
      </c>
      <c r="D108" s="1481">
        <v>653496</v>
      </c>
      <c r="E108" s="1562">
        <f>SUM(C108:D108)</f>
        <v>1274098</v>
      </c>
      <c r="F108" s="1438"/>
      <c r="G108" s="1408"/>
      <c r="H108" s="1408"/>
      <c r="I108" s="1408"/>
      <c r="J108" s="1408"/>
      <c r="K108" s="1442"/>
      <c r="L108" s="1442"/>
      <c r="M108" s="1475"/>
      <c r="N108" s="1475"/>
      <c r="O108" s="1475"/>
      <c r="P108" s="1475"/>
      <c r="Q108" s="1475"/>
      <c r="R108" s="1475"/>
      <c r="S108" s="1475"/>
      <c r="T108" s="1475"/>
      <c r="U108" s="1475"/>
      <c r="V108" s="1475"/>
      <c r="W108" s="1475"/>
      <c r="X108" s="1475"/>
      <c r="Y108" s="1482"/>
      <c r="Z108" s="1483"/>
      <c r="AA108" s="1479"/>
      <c r="AB108" s="1480"/>
      <c r="AC108" s="1409"/>
    </row>
    <row r="109" spans="1:29">
      <c r="A109" s="1408"/>
      <c r="B109" s="1555" t="s">
        <v>986</v>
      </c>
      <c r="C109" s="1481">
        <v>504317.2</v>
      </c>
      <c r="D109" s="1481">
        <v>510178.13</v>
      </c>
      <c r="E109" s="1562">
        <f>SUM(C109:D109)</f>
        <v>1014495.3300000001</v>
      </c>
      <c r="F109" s="1438"/>
      <c r="G109" s="1408"/>
      <c r="H109" s="1408"/>
      <c r="I109" s="1408"/>
      <c r="J109" s="1408"/>
      <c r="K109" s="1442"/>
      <c r="L109" s="1442"/>
      <c r="M109" s="1475"/>
      <c r="N109" s="1475"/>
      <c r="O109" s="1475"/>
      <c r="P109" s="1475"/>
      <c r="Q109" s="1475"/>
      <c r="R109" s="1475"/>
      <c r="S109" s="1475"/>
      <c r="T109" s="1475"/>
      <c r="U109" s="1475"/>
      <c r="V109" s="1475"/>
      <c r="W109" s="1475"/>
      <c r="X109" s="1475"/>
      <c r="Y109" s="1482"/>
      <c r="Z109" s="1483"/>
      <c r="AA109" s="1479"/>
      <c r="AB109" s="1480"/>
      <c r="AC109" s="1409"/>
    </row>
    <row r="110" spans="1:29">
      <c r="A110" s="1408"/>
      <c r="B110" s="1555" t="s">
        <v>987</v>
      </c>
      <c r="C110" s="1433">
        <f>C108-C109</f>
        <v>116284.79999999999</v>
      </c>
      <c r="D110" s="1481">
        <f>D108-D109</f>
        <v>143317.87</v>
      </c>
      <c r="E110" s="1562">
        <f>SUM(C110:D110)</f>
        <v>259602.66999999998</v>
      </c>
      <c r="F110" s="1438"/>
      <c r="G110" s="1408"/>
      <c r="H110" s="1408"/>
      <c r="I110" s="1408"/>
      <c r="J110" s="1408"/>
      <c r="K110" s="1442"/>
      <c r="L110" s="1442"/>
      <c r="M110" s="1475"/>
      <c r="N110" s="1475"/>
      <c r="O110" s="1475"/>
      <c r="P110" s="1475"/>
      <c r="Q110" s="1475"/>
      <c r="R110" s="1475"/>
      <c r="S110" s="1475"/>
      <c r="T110" s="1475"/>
      <c r="U110" s="1475"/>
      <c r="V110" s="1475"/>
      <c r="W110" s="1475"/>
      <c r="X110" s="1475"/>
      <c r="Y110" s="1482"/>
      <c r="Z110" s="1483"/>
      <c r="AA110" s="1479"/>
      <c r="AB110" s="1480"/>
      <c r="AC110" s="1409"/>
    </row>
    <row r="111" spans="1:29" ht="19.5" customHeight="1">
      <c r="A111" s="1408"/>
      <c r="B111" s="1563" t="s">
        <v>1019</v>
      </c>
      <c r="C111" s="1547"/>
      <c r="D111" s="1548"/>
      <c r="E111" s="1564"/>
      <c r="F111" s="1438"/>
      <c r="G111" s="1408"/>
      <c r="H111" s="1408"/>
      <c r="I111" s="1408"/>
      <c r="J111" s="1408"/>
      <c r="K111" s="1442"/>
      <c r="L111" s="1442"/>
      <c r="M111" s="1475"/>
      <c r="N111" s="1475"/>
      <c r="O111" s="1475"/>
      <c r="P111" s="1475"/>
      <c r="Q111" s="1475"/>
      <c r="R111" s="1475"/>
      <c r="S111" s="1475"/>
      <c r="T111" s="1475"/>
      <c r="U111" s="1475"/>
      <c r="V111" s="1475"/>
      <c r="W111" s="1475"/>
      <c r="X111" s="1475"/>
      <c r="Y111" s="1482"/>
      <c r="Z111" s="1483"/>
      <c r="AA111" s="1479"/>
      <c r="AB111" s="1480"/>
      <c r="AC111" s="1409"/>
    </row>
    <row r="112" spans="1:29">
      <c r="A112" s="1408"/>
      <c r="B112" s="1485" t="s">
        <v>1021</v>
      </c>
      <c r="C112" s="1433">
        <v>453776</v>
      </c>
      <c r="D112" s="1484">
        <v>610401.06999999995</v>
      </c>
      <c r="E112" s="1539">
        <f>+C112+D112</f>
        <v>1064177.0699999998</v>
      </c>
      <c r="F112" s="1438"/>
      <c r="G112" s="1408"/>
      <c r="H112" s="1408"/>
      <c r="I112" s="1408"/>
      <c r="J112" s="1408"/>
      <c r="K112" s="1474"/>
      <c r="L112" s="1474"/>
      <c r="M112" s="1475"/>
      <c r="N112" s="1475"/>
      <c r="O112" s="1475"/>
      <c r="P112" s="1475"/>
      <c r="Q112" s="1475"/>
      <c r="R112" s="1475"/>
      <c r="S112" s="1475"/>
      <c r="T112" s="1475"/>
      <c r="U112" s="1475"/>
      <c r="V112" s="1475"/>
      <c r="W112" s="1475"/>
      <c r="X112" s="1475"/>
      <c r="Y112" s="2772"/>
      <c r="Z112" s="2772"/>
      <c r="AA112" s="1479"/>
      <c r="AB112" s="1480"/>
      <c r="AC112" s="1409"/>
    </row>
    <row r="113" spans="1:29">
      <c r="A113" s="1408"/>
      <c r="B113" s="1485" t="s">
        <v>1020</v>
      </c>
      <c r="C113" s="1433">
        <v>478914.79</v>
      </c>
      <c r="D113" s="1484">
        <v>550939.59</v>
      </c>
      <c r="E113" s="1539">
        <f>+C113+D113</f>
        <v>1029854.3799999999</v>
      </c>
      <c r="F113" s="1438"/>
      <c r="G113" s="1486"/>
      <c r="H113" s="1408"/>
      <c r="I113" s="1408"/>
      <c r="J113" s="1408"/>
      <c r="K113" s="1442"/>
      <c r="L113" s="1442"/>
      <c r="M113" s="1475"/>
      <c r="N113" s="1475"/>
      <c r="O113" s="1475"/>
      <c r="P113" s="1475"/>
      <c r="Q113" s="1475"/>
      <c r="R113" s="1475"/>
      <c r="S113" s="1475"/>
      <c r="T113" s="1475"/>
      <c r="U113" s="1475"/>
      <c r="V113" s="1475"/>
      <c r="W113" s="1475"/>
      <c r="X113" s="1475"/>
      <c r="Y113" s="2770"/>
      <c r="Z113" s="2770"/>
      <c r="AA113" s="1479"/>
      <c r="AB113" s="1480"/>
      <c r="AC113" s="1409"/>
    </row>
    <row r="114" spans="1:29">
      <c r="A114" s="1408"/>
      <c r="B114" s="1487" t="s">
        <v>1022</v>
      </c>
      <c r="C114" s="1488">
        <f>+C112-C113</f>
        <v>-25138.789999999979</v>
      </c>
      <c r="D114" s="1488">
        <f>+D112-D113</f>
        <v>59461.479999999981</v>
      </c>
      <c r="E114" s="1539">
        <f>+E112-E113</f>
        <v>34322.689999999944</v>
      </c>
      <c r="F114" s="1438"/>
      <c r="G114" s="1486"/>
      <c r="H114" s="1408"/>
      <c r="I114" s="1408"/>
      <c r="J114" s="1408"/>
      <c r="K114" s="1442"/>
      <c r="L114" s="1442"/>
      <c r="M114" s="1475"/>
      <c r="N114" s="1475"/>
      <c r="O114" s="1475"/>
      <c r="P114" s="1475"/>
      <c r="Q114" s="1475"/>
      <c r="R114" s="1475"/>
      <c r="S114" s="1475"/>
      <c r="T114" s="1475"/>
      <c r="U114" s="1475"/>
      <c r="V114" s="1475"/>
      <c r="W114" s="1475"/>
      <c r="X114" s="1475"/>
      <c r="Y114" s="1483"/>
      <c r="Z114" s="1483"/>
      <c r="AA114" s="1479"/>
      <c r="AB114" s="1480"/>
      <c r="AC114" s="1409"/>
    </row>
    <row r="115" spans="1:29" ht="15.95" customHeight="1">
      <c r="A115" s="1408"/>
      <c r="B115" s="1540" t="s">
        <v>1028</v>
      </c>
      <c r="C115" s="1541"/>
      <c r="D115" s="1542"/>
      <c r="E115" s="1565"/>
      <c r="F115" s="1438"/>
      <c r="G115" s="1486"/>
      <c r="H115" s="1408"/>
      <c r="I115" s="1408"/>
      <c r="J115" s="1408"/>
      <c r="K115" s="1442"/>
      <c r="L115" s="1442"/>
      <c r="M115" s="1475"/>
      <c r="N115" s="1475"/>
      <c r="O115" s="1475"/>
      <c r="P115" s="1475"/>
      <c r="Q115" s="1475"/>
      <c r="R115" s="1475"/>
      <c r="S115" s="1475"/>
      <c r="T115" s="1475"/>
      <c r="U115" s="1475"/>
      <c r="V115" s="1475"/>
      <c r="W115" s="1475"/>
      <c r="X115" s="1475"/>
      <c r="Y115" s="1483"/>
      <c r="Z115" s="1483"/>
      <c r="AA115" s="1479"/>
      <c r="AB115" s="1480"/>
      <c r="AC115" s="1409"/>
    </row>
    <row r="116" spans="1:29">
      <c r="A116" s="1408"/>
      <c r="B116" s="1485" t="s">
        <v>1023</v>
      </c>
      <c r="C116" s="1433">
        <f>C108+C112</f>
        <v>1074378</v>
      </c>
      <c r="D116" s="1484">
        <f>D108+D112</f>
        <v>1263897.0699999998</v>
      </c>
      <c r="E116" s="1539">
        <f>SUM(C116:D116)</f>
        <v>2338275.0699999998</v>
      </c>
      <c r="F116" s="1438"/>
      <c r="G116" s="1486"/>
      <c r="H116" s="1408"/>
      <c r="I116" s="1408"/>
      <c r="J116" s="1408"/>
      <c r="K116" s="1442"/>
      <c r="L116" s="1442"/>
      <c r="M116" s="1475"/>
      <c r="N116" s="1475"/>
      <c r="O116" s="1475"/>
      <c r="P116" s="1475"/>
      <c r="Q116" s="1475"/>
      <c r="R116" s="1475"/>
      <c r="S116" s="1475"/>
      <c r="T116" s="1475"/>
      <c r="U116" s="1475"/>
      <c r="V116" s="1475"/>
      <c r="W116" s="1475"/>
      <c r="X116" s="1475"/>
      <c r="Y116" s="1483"/>
      <c r="Z116" s="1483"/>
      <c r="AA116" s="1479"/>
      <c r="AB116" s="1480"/>
      <c r="AC116" s="1409"/>
    </row>
    <row r="117" spans="1:29">
      <c r="A117" s="1408"/>
      <c r="B117" s="1485" t="s">
        <v>1024</v>
      </c>
      <c r="C117" s="1433">
        <f>C109+C113</f>
        <v>983231.99</v>
      </c>
      <c r="D117" s="1433">
        <f>D109+D113</f>
        <v>1061117.72</v>
      </c>
      <c r="E117" s="1566">
        <f>E109+E113</f>
        <v>2044349.71</v>
      </c>
      <c r="F117" s="1438"/>
      <c r="G117" s="1408"/>
      <c r="H117" s="1408"/>
      <c r="I117" s="1408"/>
      <c r="J117" s="1408"/>
      <c r="K117" s="1442"/>
      <c r="L117" s="1442"/>
      <c r="M117" s="1475"/>
      <c r="N117" s="1475"/>
      <c r="O117" s="1475"/>
      <c r="P117" s="1475"/>
      <c r="Q117" s="1475"/>
      <c r="R117" s="1475"/>
      <c r="S117" s="1475"/>
      <c r="T117" s="1475"/>
      <c r="U117" s="1475"/>
      <c r="V117" s="1475"/>
      <c r="W117" s="1475"/>
      <c r="X117" s="1475"/>
      <c r="Y117" s="1483"/>
      <c r="Z117" s="1483"/>
      <c r="AA117" s="1479"/>
      <c r="AB117" s="1480"/>
      <c r="AC117" s="1409"/>
    </row>
    <row r="118" spans="1:29">
      <c r="A118" s="1408"/>
      <c r="B118" s="1487" t="s">
        <v>1025</v>
      </c>
      <c r="C118" s="1488">
        <f>C116-C117</f>
        <v>91146.010000000009</v>
      </c>
      <c r="D118" s="1489">
        <f>D116-D117</f>
        <v>202779.34999999986</v>
      </c>
      <c r="E118" s="1567">
        <f>E116-E117</f>
        <v>293925.35999999987</v>
      </c>
      <c r="F118" s="1490"/>
      <c r="G118" s="1474"/>
      <c r="H118" s="1408"/>
      <c r="I118" s="1408"/>
      <c r="J118" s="1408"/>
      <c r="K118" s="1442"/>
      <c r="L118" s="1442"/>
      <c r="M118" s="1475"/>
      <c r="N118" s="1475"/>
      <c r="O118" s="1475"/>
      <c r="P118" s="1475"/>
      <c r="Q118" s="1475"/>
      <c r="R118" s="1475"/>
      <c r="S118" s="1475"/>
      <c r="T118" s="1475"/>
      <c r="U118" s="1475"/>
      <c r="V118" s="1475"/>
      <c r="W118" s="1475"/>
      <c r="X118" s="1475"/>
      <c r="Y118" s="1483"/>
      <c r="Z118" s="1483"/>
      <c r="AA118" s="1479"/>
      <c r="AB118" s="1480"/>
      <c r="AC118" s="1409"/>
    </row>
    <row r="119" spans="1:29">
      <c r="A119" s="1408"/>
      <c r="B119" s="1583" t="s">
        <v>1055</v>
      </c>
      <c r="C119" s="1584">
        <f>+C116/E116</f>
        <v>0.45947459894014953</v>
      </c>
      <c r="D119" s="1585">
        <f>+D116/E116</f>
        <v>0.54052540105985047</v>
      </c>
      <c r="E119" s="1582"/>
      <c r="F119" s="1490"/>
      <c r="G119" s="1474"/>
      <c r="H119" s="1408"/>
      <c r="I119" s="1408"/>
      <c r="J119" s="1408"/>
      <c r="K119" s="1442"/>
      <c r="L119" s="1442"/>
      <c r="M119" s="1475"/>
      <c r="N119" s="1475"/>
      <c r="O119" s="1475"/>
      <c r="P119" s="1475"/>
      <c r="Q119" s="1475"/>
      <c r="R119" s="1475"/>
      <c r="S119" s="1475"/>
      <c r="T119" s="1475"/>
      <c r="U119" s="1475"/>
      <c r="V119" s="1475"/>
      <c r="W119" s="1475"/>
      <c r="X119" s="1475"/>
      <c r="Y119" s="1483"/>
      <c r="Z119" s="1483"/>
      <c r="AA119" s="1479"/>
      <c r="AB119" s="1480"/>
      <c r="AC119" s="1409"/>
    </row>
    <row r="120" spans="1:29" ht="13.5" thickBot="1">
      <c r="A120" s="1408"/>
      <c r="B120" s="1556" t="s">
        <v>1026</v>
      </c>
      <c r="C120" s="1557">
        <f>C117/C116</f>
        <v>0.91516392740729979</v>
      </c>
      <c r="D120" s="1557">
        <f>D117/D116</f>
        <v>0.83956023412571101</v>
      </c>
      <c r="E120" s="1568">
        <f>E117/E116</f>
        <v>0.87429821077466308</v>
      </c>
      <c r="F120" s="1490"/>
      <c r="G120" s="1408"/>
      <c r="H120" s="1408"/>
      <c r="I120" s="1408"/>
      <c r="J120" s="1408"/>
      <c r="K120" s="1442"/>
      <c r="L120" s="1442"/>
      <c r="M120" s="1475"/>
      <c r="N120" s="1475"/>
      <c r="O120" s="1475"/>
      <c r="P120" s="1475"/>
      <c r="Q120" s="1475"/>
      <c r="R120" s="1475"/>
      <c r="S120" s="1475"/>
      <c r="T120" s="1475"/>
      <c r="U120" s="1475"/>
      <c r="V120" s="1475"/>
      <c r="W120" s="1475"/>
      <c r="X120" s="1475"/>
      <c r="Y120" s="1483"/>
      <c r="Z120" s="1482"/>
      <c r="AA120" s="1479"/>
      <c r="AB120" s="1480"/>
      <c r="AC120" s="1409"/>
    </row>
    <row r="121" spans="1:29">
      <c r="A121" s="1408"/>
      <c r="B121" s="1560" t="s">
        <v>1027</v>
      </c>
      <c r="C121" s="1561">
        <f>C118/C116</f>
        <v>8.4836072592700151E-2</v>
      </c>
      <c r="D121" s="1561">
        <f>D118/D116</f>
        <v>0.16043976587428901</v>
      </c>
      <c r="E121" s="1561">
        <f>E118/E116</f>
        <v>0.1257017892253369</v>
      </c>
      <c r="F121" s="1438"/>
      <c r="G121" s="1408"/>
      <c r="H121" s="1408"/>
      <c r="I121" s="1408"/>
      <c r="J121" s="1408"/>
      <c r="K121" s="1442"/>
      <c r="L121" s="1442"/>
      <c r="M121" s="1475"/>
      <c r="N121" s="1475"/>
      <c r="O121" s="1475"/>
      <c r="P121" s="1475"/>
      <c r="Q121" s="1475"/>
      <c r="R121" s="1475"/>
      <c r="S121" s="1475"/>
      <c r="T121" s="1475"/>
      <c r="U121" s="1475"/>
      <c r="V121" s="1475"/>
      <c r="W121" s="1475"/>
      <c r="X121" s="1475"/>
      <c r="Y121" s="2770"/>
      <c r="Z121" s="2770"/>
      <c r="AA121" s="1479"/>
      <c r="AB121" s="1480"/>
      <c r="AC121" s="1409"/>
    </row>
  </sheetData>
  <autoFilter ref="A2:C103"/>
  <mergeCells count="38">
    <mergeCell ref="Y121:Z121"/>
    <mergeCell ref="M105:N105"/>
    <mergeCell ref="P105:Q105"/>
    <mergeCell ref="Y105:Z105"/>
    <mergeCell ref="Y106:Z106"/>
    <mergeCell ref="Y107:Z107"/>
    <mergeCell ref="Y112:Z112"/>
    <mergeCell ref="D105:E105"/>
    <mergeCell ref="G105:H105"/>
    <mergeCell ref="B106:E106"/>
    <mergeCell ref="J105:K105"/>
    <mergeCell ref="Y113:Z113"/>
    <mergeCell ref="A81:B81"/>
    <mergeCell ref="A86:B86"/>
    <mergeCell ref="A95:B95"/>
    <mergeCell ref="A98:B98"/>
    <mergeCell ref="A102:B102"/>
    <mergeCell ref="A45:B45"/>
    <mergeCell ref="A54:B54"/>
    <mergeCell ref="A60:B60"/>
    <mergeCell ref="A63:B63"/>
    <mergeCell ref="A74:B74"/>
    <mergeCell ref="AC3:AC4"/>
    <mergeCell ref="AC6:AC10"/>
    <mergeCell ref="A23:B23"/>
    <mergeCell ref="A33:B33"/>
    <mergeCell ref="A39:B39"/>
    <mergeCell ref="A2:A4"/>
    <mergeCell ref="B1:AB1"/>
    <mergeCell ref="P2:R2"/>
    <mergeCell ref="S2:U2"/>
    <mergeCell ref="Y2:AB2"/>
    <mergeCell ref="D2:F2"/>
    <mergeCell ref="B2:B3"/>
    <mergeCell ref="G2:I2"/>
    <mergeCell ref="J2:L2"/>
    <mergeCell ref="V2:X2"/>
    <mergeCell ref="M2:O2"/>
  </mergeCells>
  <pageMargins left="0.7" right="0.7" top="0.75" bottom="0.75" header="0.3" footer="0.3"/>
  <pageSetup scale="23" orientation="landscape" r:id="rId1"/>
</worksheet>
</file>

<file path=xl/worksheets/sheet32.xml><?xml version="1.0" encoding="utf-8"?>
<worksheet xmlns="http://schemas.openxmlformats.org/spreadsheetml/2006/main" xmlns:r="http://schemas.openxmlformats.org/officeDocument/2006/relationships">
  <dimension ref="A1:H48"/>
  <sheetViews>
    <sheetView zoomScale="92" zoomScaleNormal="92" workbookViewId="0">
      <pane xSplit="3" ySplit="1" topLeftCell="D14" activePane="bottomRight" state="frozen"/>
      <selection pane="topRight" activeCell="D1" sqref="D1"/>
      <selection pane="bottomLeft" activeCell="A3" sqref="A3"/>
      <selection pane="bottomRight" activeCell="D27" sqref="D27:E27"/>
    </sheetView>
  </sheetViews>
  <sheetFormatPr defaultColWidth="10.28515625" defaultRowHeight="12.75"/>
  <cols>
    <col min="1" max="1" width="8.140625" style="1410" customWidth="1"/>
    <col min="2" max="2" width="53.140625" style="1410" customWidth="1"/>
    <col min="3" max="3" width="14" style="1410" customWidth="1"/>
    <col min="4" max="4" width="14.140625" style="1410" customWidth="1"/>
    <col min="5" max="5" width="16.28515625" style="1410" customWidth="1"/>
    <col min="6" max="6" width="12.7109375" style="1410" customWidth="1"/>
    <col min="7" max="7" width="12.5703125" style="1410" customWidth="1"/>
    <col min="8" max="8" width="56.42578125" style="1410" customWidth="1"/>
    <col min="9" max="239" width="9.140625" style="1410" customWidth="1"/>
    <col min="240" max="240" width="53.140625" style="1410" customWidth="1"/>
    <col min="241" max="241" width="11.7109375" style="1410" customWidth="1"/>
    <col min="242" max="242" width="11.42578125" style="1410" customWidth="1"/>
    <col min="243" max="243" width="12" style="1410" customWidth="1"/>
    <col min="244" max="244" width="9.7109375" style="1410" customWidth="1"/>
    <col min="245" max="245" width="10.5703125" style="1410" customWidth="1"/>
    <col min="246" max="247" width="9.140625" style="1410" customWidth="1"/>
    <col min="248" max="248" width="10.28515625" style="1410" customWidth="1"/>
    <col min="249" max="249" width="10.140625" style="1410" customWidth="1"/>
    <col min="250" max="250" width="10.42578125" style="1410" customWidth="1"/>
    <col min="251" max="251" width="9.140625" style="1410" customWidth="1"/>
    <col min="252" max="252" width="11" style="1410" customWidth="1"/>
    <col min="253" max="253" width="10.5703125" style="1410" customWidth="1"/>
    <col min="254" max="254" width="10.7109375" style="1410" customWidth="1"/>
    <col min="255" max="255" width="9.140625" style="1410" customWidth="1"/>
    <col min="256" max="16384" width="10.28515625" style="1410"/>
  </cols>
  <sheetData>
    <row r="1" spans="1:8" ht="39.6" customHeight="1">
      <c r="A1" s="1408"/>
      <c r="B1" s="1721" t="s">
        <v>1031</v>
      </c>
      <c r="C1" s="1722"/>
      <c r="D1" s="1722"/>
      <c r="E1" s="1722"/>
      <c r="F1" s="1722"/>
      <c r="G1" s="1722"/>
      <c r="H1" s="1409"/>
    </row>
    <row r="2" spans="1:8">
      <c r="A2" s="1411"/>
      <c r="B2" s="2751" t="s">
        <v>776</v>
      </c>
      <c r="C2" s="1411"/>
      <c r="D2" s="2744" t="s">
        <v>779</v>
      </c>
      <c r="E2" s="2742"/>
      <c r="F2" s="2743"/>
      <c r="G2" s="1491"/>
      <c r="H2" s="1412"/>
    </row>
    <row r="3" spans="1:8" ht="24" customHeight="1">
      <c r="A3" s="1411" t="s">
        <v>1018</v>
      </c>
      <c r="B3" s="2752"/>
      <c r="C3" s="1411" t="s">
        <v>462</v>
      </c>
      <c r="D3" s="1413" t="s">
        <v>782</v>
      </c>
      <c r="E3" s="1413" t="s">
        <v>783</v>
      </c>
      <c r="F3" s="1413" t="s">
        <v>599</v>
      </c>
      <c r="G3" s="1413" t="s">
        <v>787</v>
      </c>
      <c r="H3" s="1515" t="s">
        <v>575</v>
      </c>
    </row>
    <row r="4" spans="1:8" ht="12.95" customHeight="1">
      <c r="A4" s="1416"/>
      <c r="B4" s="1429" t="s">
        <v>791</v>
      </c>
      <c r="C4" s="1418" t="s">
        <v>788</v>
      </c>
      <c r="D4" s="1422">
        <v>0</v>
      </c>
      <c r="E4" s="1422">
        <v>6642.3848357945781</v>
      </c>
      <c r="F4" s="1422">
        <f>+D4-E4</f>
        <v>-6642.3848357945781</v>
      </c>
      <c r="G4" s="1492">
        <v>0</v>
      </c>
      <c r="H4" s="2757" t="s">
        <v>988</v>
      </c>
    </row>
    <row r="5" spans="1:8" ht="13.5">
      <c r="A5" s="1416"/>
      <c r="B5" s="1429" t="s">
        <v>793</v>
      </c>
      <c r="C5" s="1418" t="s">
        <v>788</v>
      </c>
      <c r="D5" s="1422">
        <v>0</v>
      </c>
      <c r="E5" s="1422">
        <v>13500</v>
      </c>
      <c r="F5" s="1422">
        <f>+D5-E5</f>
        <v>-13500</v>
      </c>
      <c r="G5" s="1492">
        <v>0</v>
      </c>
      <c r="H5" s="2758"/>
    </row>
    <row r="6" spans="1:8" ht="13.5">
      <c r="A6" s="1416"/>
      <c r="B6" s="1429" t="s">
        <v>794</v>
      </c>
      <c r="C6" s="1418" t="s">
        <v>788</v>
      </c>
      <c r="D6" s="1422">
        <v>0</v>
      </c>
      <c r="E6" s="1422">
        <v>3000</v>
      </c>
      <c r="F6" s="1422">
        <f>+D6-E6</f>
        <v>-3000</v>
      </c>
      <c r="G6" s="1492">
        <v>0</v>
      </c>
      <c r="H6" s="2758"/>
    </row>
    <row r="7" spans="1:8">
      <c r="A7" s="1458"/>
      <c r="B7" s="1459" t="s">
        <v>849</v>
      </c>
      <c r="C7" s="1418" t="s">
        <v>788</v>
      </c>
      <c r="D7" s="1422">
        <v>6340</v>
      </c>
      <c r="E7" s="1422">
        <v>0</v>
      </c>
      <c r="F7" s="1422">
        <f t="shared" ref="F7:F20" si="0">+D7-E7</f>
        <v>6340</v>
      </c>
      <c r="G7" s="1492">
        <f>+F7/D7</f>
        <v>1</v>
      </c>
      <c r="H7" s="1427" t="s">
        <v>989</v>
      </c>
    </row>
    <row r="8" spans="1:8">
      <c r="A8" s="1416" t="s">
        <v>851</v>
      </c>
      <c r="B8" s="1440" t="s">
        <v>852</v>
      </c>
      <c r="C8" s="1416" t="s">
        <v>853</v>
      </c>
      <c r="D8" s="1422">
        <v>7389</v>
      </c>
      <c r="E8" s="1422">
        <v>0</v>
      </c>
      <c r="F8" s="1422">
        <f t="shared" si="0"/>
        <v>7389</v>
      </c>
      <c r="G8" s="1492">
        <f>+F8/D8</f>
        <v>1</v>
      </c>
      <c r="H8" s="1431" t="s">
        <v>990</v>
      </c>
    </row>
    <row r="9" spans="1:8" ht="24">
      <c r="A9" s="1416" t="s">
        <v>854</v>
      </c>
      <c r="B9" s="1440" t="s">
        <v>855</v>
      </c>
      <c r="C9" s="1416" t="s">
        <v>853</v>
      </c>
      <c r="D9" s="1422">
        <v>474</v>
      </c>
      <c r="E9" s="1422">
        <v>848.68856072294477</v>
      </c>
      <c r="F9" s="1422">
        <f t="shared" si="0"/>
        <v>-374.68856072294477</v>
      </c>
      <c r="G9" s="1492">
        <f>+F9/D9</f>
        <v>-0.79048219561802691</v>
      </c>
      <c r="H9" s="1427" t="s">
        <v>991</v>
      </c>
    </row>
    <row r="10" spans="1:8">
      <c r="A10" s="1416" t="s">
        <v>868</v>
      </c>
      <c r="B10" s="1417" t="s">
        <v>869</v>
      </c>
      <c r="C10" s="1416" t="s">
        <v>864</v>
      </c>
      <c r="D10" s="1422">
        <v>6170</v>
      </c>
      <c r="E10" s="1422">
        <f>490.92+4408.19925060613</f>
        <v>4899.1192506061298</v>
      </c>
      <c r="F10" s="1422">
        <f t="shared" si="0"/>
        <v>1270.8807493938702</v>
      </c>
      <c r="G10" s="1492">
        <f>+F10/D10</f>
        <v>0.20597743102007621</v>
      </c>
      <c r="H10" s="1431" t="s">
        <v>992</v>
      </c>
    </row>
    <row r="11" spans="1:8" ht="24">
      <c r="A11" s="1416" t="s">
        <v>875</v>
      </c>
      <c r="B11" s="1417" t="s">
        <v>876</v>
      </c>
      <c r="C11" s="1416" t="s">
        <v>864</v>
      </c>
      <c r="D11" s="1422">
        <v>0</v>
      </c>
      <c r="E11" s="1422">
        <v>2522.3275292043204</v>
      </c>
      <c r="F11" s="1422">
        <f t="shared" si="0"/>
        <v>-2522.3275292043204</v>
      </c>
      <c r="G11" s="1492">
        <v>0</v>
      </c>
      <c r="H11" s="1427" t="s">
        <v>988</v>
      </c>
    </row>
    <row r="12" spans="1:8">
      <c r="A12" s="1416" t="s">
        <v>884</v>
      </c>
      <c r="B12" s="1417" t="s">
        <v>885</v>
      </c>
      <c r="C12" s="1416" t="s">
        <v>886</v>
      </c>
      <c r="D12" s="1422">
        <v>0</v>
      </c>
      <c r="E12" s="1422">
        <v>1000</v>
      </c>
      <c r="F12" s="1422">
        <f t="shared" si="0"/>
        <v>-1000</v>
      </c>
      <c r="G12" s="1492">
        <v>0</v>
      </c>
      <c r="H12" s="1431" t="s">
        <v>988</v>
      </c>
    </row>
    <row r="13" spans="1:8">
      <c r="A13" s="1416" t="s">
        <v>887</v>
      </c>
      <c r="B13" s="1417" t="s">
        <v>888</v>
      </c>
      <c r="C13" s="1416" t="s">
        <v>886</v>
      </c>
      <c r="D13" s="1422">
        <v>0</v>
      </c>
      <c r="E13" s="1422">
        <v>0</v>
      </c>
      <c r="F13" s="1422">
        <f t="shared" si="0"/>
        <v>0</v>
      </c>
      <c r="G13" s="1492">
        <v>0</v>
      </c>
      <c r="H13" s="1431"/>
    </row>
    <row r="14" spans="1:8" ht="13.5">
      <c r="A14" s="1439" t="s">
        <v>887</v>
      </c>
      <c r="B14" s="1429" t="s">
        <v>889</v>
      </c>
      <c r="C14" s="1416" t="s">
        <v>886</v>
      </c>
      <c r="D14" s="1422">
        <v>0</v>
      </c>
      <c r="E14" s="1422">
        <v>4439.9823672029979</v>
      </c>
      <c r="F14" s="1422">
        <f t="shared" si="0"/>
        <v>-4439.9823672029979</v>
      </c>
      <c r="G14" s="1492">
        <v>0</v>
      </c>
      <c r="H14" s="1431" t="s">
        <v>988</v>
      </c>
    </row>
    <row r="15" spans="1:8">
      <c r="A15" s="1416" t="s">
        <v>892</v>
      </c>
      <c r="B15" s="1440" t="s">
        <v>893</v>
      </c>
      <c r="C15" s="1416" t="s">
        <v>886</v>
      </c>
      <c r="D15" s="1422">
        <v>2325</v>
      </c>
      <c r="E15" s="1422">
        <v>2339.5415472779373</v>
      </c>
      <c r="F15" s="1422">
        <f t="shared" si="0"/>
        <v>-14.541547277937298</v>
      </c>
      <c r="G15" s="1492">
        <f>+F15/D15</f>
        <v>-6.2544289367472252E-3</v>
      </c>
      <c r="H15" s="1431" t="s">
        <v>846</v>
      </c>
    </row>
    <row r="16" spans="1:8">
      <c r="A16" s="1416" t="s">
        <v>895</v>
      </c>
      <c r="B16" s="1440" t="s">
        <v>896</v>
      </c>
      <c r="C16" s="1416" t="s">
        <v>853</v>
      </c>
      <c r="D16" s="1422">
        <v>0</v>
      </c>
      <c r="E16" s="1422">
        <v>10578.399823672031</v>
      </c>
      <c r="F16" s="1422">
        <f t="shared" si="0"/>
        <v>-10578.399823672031</v>
      </c>
      <c r="G16" s="1492">
        <v>0</v>
      </c>
      <c r="H16" s="1431" t="s">
        <v>999</v>
      </c>
    </row>
    <row r="17" spans="1:8">
      <c r="A17" s="1416" t="s">
        <v>900</v>
      </c>
      <c r="B17" s="1440" t="s">
        <v>901</v>
      </c>
      <c r="C17" s="1416" t="s">
        <v>853</v>
      </c>
      <c r="D17" s="1422">
        <v>999</v>
      </c>
      <c r="E17" s="1422">
        <v>859.59885386819485</v>
      </c>
      <c r="F17" s="1422">
        <f t="shared" si="0"/>
        <v>139.40114613180515</v>
      </c>
      <c r="G17" s="1492">
        <f>+F17/D17</f>
        <v>0.13954068681862378</v>
      </c>
      <c r="H17" s="1431" t="s">
        <v>902</v>
      </c>
    </row>
    <row r="18" spans="1:8" ht="24">
      <c r="A18" s="1416"/>
      <c r="B18" s="1440" t="s">
        <v>903</v>
      </c>
      <c r="C18" s="1416" t="s">
        <v>853</v>
      </c>
      <c r="D18" s="1422">
        <v>17166</v>
      </c>
      <c r="E18" s="1422">
        <v>18800.925721842628</v>
      </c>
      <c r="F18" s="1422">
        <f t="shared" si="0"/>
        <v>-1634.9257218426283</v>
      </c>
      <c r="G18" s="1492">
        <f>+F18/D18</f>
        <v>-9.5242090285601086E-2</v>
      </c>
      <c r="H18" s="1427" t="s">
        <v>998</v>
      </c>
    </row>
    <row r="19" spans="1:8">
      <c r="A19" s="1416" t="s">
        <v>907</v>
      </c>
      <c r="B19" s="1440" t="s">
        <v>908</v>
      </c>
      <c r="C19" s="1416" t="s">
        <v>853</v>
      </c>
      <c r="D19" s="1422">
        <v>21750</v>
      </c>
      <c r="E19" s="1422">
        <v>0</v>
      </c>
      <c r="F19" s="1422">
        <f t="shared" si="0"/>
        <v>21750</v>
      </c>
      <c r="G19" s="1492">
        <f>+F19/D19</f>
        <v>1</v>
      </c>
      <c r="H19" s="1427" t="s">
        <v>1054</v>
      </c>
    </row>
    <row r="20" spans="1:8">
      <c r="A20" s="1416" t="s">
        <v>909</v>
      </c>
      <c r="B20" s="1417" t="s">
        <v>910</v>
      </c>
      <c r="C20" s="1416" t="s">
        <v>853</v>
      </c>
      <c r="D20" s="1422">
        <v>15045</v>
      </c>
      <c r="E20" s="1422">
        <v>0</v>
      </c>
      <c r="F20" s="1422">
        <f t="shared" si="0"/>
        <v>15045</v>
      </c>
      <c r="G20" s="1492">
        <f>+F20/D20</f>
        <v>1</v>
      </c>
      <c r="H20" s="1431" t="s">
        <v>1054</v>
      </c>
    </row>
    <row r="21" spans="1:8">
      <c r="A21" s="1416"/>
      <c r="B21" s="1444" t="s">
        <v>916</v>
      </c>
      <c r="C21" s="1416" t="s">
        <v>853</v>
      </c>
      <c r="D21" s="1422">
        <v>0</v>
      </c>
      <c r="E21" s="1422">
        <v>16817.280141062376</v>
      </c>
      <c r="F21" s="1422">
        <f t="shared" ref="F21:F26" si="1">+D21-E21</f>
        <v>-16817.280141062376</v>
      </c>
      <c r="G21" s="1492">
        <v>0</v>
      </c>
      <c r="H21" s="1427" t="s">
        <v>988</v>
      </c>
    </row>
    <row r="22" spans="1:8" ht="24">
      <c r="A22" s="1416" t="s">
        <v>949</v>
      </c>
      <c r="B22" s="1440" t="s">
        <v>950</v>
      </c>
      <c r="C22" s="1416" t="s">
        <v>853</v>
      </c>
      <c r="D22" s="1422">
        <v>6000</v>
      </c>
      <c r="E22" s="1422">
        <v>2012.8719418117701</v>
      </c>
      <c r="F22" s="1422">
        <f t="shared" si="1"/>
        <v>3987.1280581882302</v>
      </c>
      <c r="G22" s="1492">
        <f>+F22/D22</f>
        <v>0.66452134303137167</v>
      </c>
      <c r="H22" s="1427" t="s">
        <v>997</v>
      </c>
    </row>
    <row r="23" spans="1:8">
      <c r="A23" s="1416" t="s">
        <v>952</v>
      </c>
      <c r="B23" s="1417" t="s">
        <v>953</v>
      </c>
      <c r="C23" s="1416" t="s">
        <v>853</v>
      </c>
      <c r="D23" s="1422"/>
      <c r="E23" s="1422">
        <v>1215.8254353096761</v>
      </c>
      <c r="F23" s="1422">
        <f t="shared" si="1"/>
        <v>-1215.8254353096761</v>
      </c>
      <c r="G23" s="1492">
        <v>0</v>
      </c>
      <c r="H23" s="1427" t="s">
        <v>996</v>
      </c>
    </row>
    <row r="24" spans="1:8" ht="24">
      <c r="A24" s="1416" t="s">
        <v>954</v>
      </c>
      <c r="B24" s="1417" t="s">
        <v>934</v>
      </c>
      <c r="C24" s="1416" t="s">
        <v>853</v>
      </c>
      <c r="D24" s="1422">
        <v>2460</v>
      </c>
      <c r="E24" s="1422">
        <v>1881.4635221512012</v>
      </c>
      <c r="F24" s="1422">
        <f t="shared" si="1"/>
        <v>578.53647784879877</v>
      </c>
      <c r="G24" s="1492">
        <f>+F24/D24</f>
        <v>0.2351774300198369</v>
      </c>
      <c r="H24" s="1427" t="s">
        <v>995</v>
      </c>
    </row>
    <row r="25" spans="1:8" ht="24">
      <c r="A25" s="1416" t="s">
        <v>955</v>
      </c>
      <c r="B25" s="1417" t="s">
        <v>956</v>
      </c>
      <c r="C25" s="1416" t="s">
        <v>853</v>
      </c>
      <c r="D25" s="1422">
        <v>5310</v>
      </c>
      <c r="E25" s="1422">
        <v>8284.4390566453603</v>
      </c>
      <c r="F25" s="1422">
        <f t="shared" si="1"/>
        <v>-2974.4390566453603</v>
      </c>
      <c r="G25" s="1492">
        <f>+F25/D25</f>
        <v>-0.56015801443415447</v>
      </c>
      <c r="H25" s="1427" t="s">
        <v>994</v>
      </c>
    </row>
    <row r="26" spans="1:8" ht="25.5" customHeight="1">
      <c r="A26" s="1416" t="s">
        <v>975</v>
      </c>
      <c r="B26" s="1440" t="s">
        <v>976</v>
      </c>
      <c r="C26" s="1416" t="s">
        <v>853</v>
      </c>
      <c r="D26" s="1422">
        <v>0</v>
      </c>
      <c r="E26" s="1422">
        <v>666.12298875909198</v>
      </c>
      <c r="F26" s="1422">
        <f t="shared" si="1"/>
        <v>-666.12298875909198</v>
      </c>
      <c r="G26" s="1492">
        <v>0</v>
      </c>
      <c r="H26" s="1427" t="s">
        <v>993</v>
      </c>
    </row>
    <row r="27" spans="1:8" ht="13.5" thickBot="1">
      <c r="A27" s="1443">
        <v>3.1</v>
      </c>
      <c r="B27" s="1444" t="s">
        <v>980</v>
      </c>
      <c r="C27" s="1443" t="s">
        <v>853</v>
      </c>
      <c r="D27" s="1529">
        <v>16679</v>
      </c>
      <c r="E27" s="1529">
        <v>15425.698479171258</v>
      </c>
      <c r="F27" s="1529">
        <f>+D27-E27</f>
        <v>1253.3015208287416</v>
      </c>
      <c r="G27" s="1530">
        <f>+F27/D27</f>
        <v>7.5142485810224924E-2</v>
      </c>
      <c r="H27" s="1427" t="s">
        <v>1061</v>
      </c>
    </row>
    <row r="28" spans="1:8" ht="13.5" thickBot="1">
      <c r="A28" s="1531"/>
      <c r="B28" s="1532" t="s">
        <v>982</v>
      </c>
      <c r="C28" s="1533"/>
      <c r="D28" s="1534">
        <f>SUM(D4:D27)</f>
        <v>108107</v>
      </c>
      <c r="E28" s="1534">
        <f>SUM(E4:E27)</f>
        <v>115734.6700551025</v>
      </c>
      <c r="F28" s="1534">
        <f>SUM(F4:F27)</f>
        <v>-7627.6700551025024</v>
      </c>
      <c r="G28" s="1535">
        <f>+F28/D28</f>
        <v>-7.0556671215578112E-2</v>
      </c>
      <c r="H28" s="1470"/>
    </row>
    <row r="29" spans="1:8" ht="13.5" thickBot="1">
      <c r="A29" s="1549"/>
      <c r="B29" s="1552"/>
      <c r="C29" s="1553"/>
      <c r="D29" s="1554"/>
      <c r="E29" s="1554"/>
      <c r="F29" s="1550"/>
      <c r="G29" s="1551"/>
      <c r="H29" s="1470"/>
    </row>
    <row r="30" spans="1:8" ht="28.5" customHeight="1" thickBot="1">
      <c r="A30" s="1408"/>
      <c r="B30" s="2773" t="s">
        <v>1029</v>
      </c>
      <c r="C30" s="2774"/>
      <c r="D30" s="2774"/>
      <c r="E30" s="2775"/>
      <c r="F30" s="1475"/>
      <c r="G30" s="1478"/>
      <c r="H30" s="1409"/>
    </row>
    <row r="31" spans="1:8" ht="13.5" thickBot="1">
      <c r="A31" s="1408"/>
      <c r="B31" s="1576" t="s">
        <v>1043</v>
      </c>
      <c r="C31" s="1536" t="s">
        <v>430</v>
      </c>
      <c r="D31" s="1537" t="s">
        <v>984</v>
      </c>
      <c r="E31" s="1538" t="s">
        <v>185</v>
      </c>
      <c r="F31" s="1475"/>
      <c r="G31" s="1480"/>
      <c r="H31" s="1409"/>
    </row>
    <row r="32" spans="1:8">
      <c r="B32" s="1577" t="s">
        <v>1044</v>
      </c>
      <c r="C32" s="1578">
        <v>93272</v>
      </c>
      <c r="D32" s="1578">
        <v>14835</v>
      </c>
      <c r="E32" s="1578">
        <f>+C32+D32</f>
        <v>108107</v>
      </c>
    </row>
    <row r="33" spans="2:5">
      <c r="B33" s="1571" t="s">
        <v>1039</v>
      </c>
      <c r="C33" s="1572">
        <f>+D9+D17+D18+D22+D24+D25+D27</f>
        <v>49088</v>
      </c>
      <c r="D33" s="1572">
        <f>+D10+D15</f>
        <v>8495</v>
      </c>
      <c r="E33" s="1572">
        <f>+C33+D33</f>
        <v>57583</v>
      </c>
    </row>
    <row r="34" spans="2:5">
      <c r="B34" s="1571" t="s">
        <v>1040</v>
      </c>
      <c r="C34" s="1572">
        <f>+D8+D19+D20</f>
        <v>44184</v>
      </c>
      <c r="D34" s="1572">
        <f>+D7</f>
        <v>6340</v>
      </c>
      <c r="E34" s="1572">
        <f>+C34+D34</f>
        <v>50524</v>
      </c>
    </row>
    <row r="35" spans="2:5">
      <c r="B35" s="1571" t="s">
        <v>1032</v>
      </c>
      <c r="C35" s="1573">
        <f>+C32/E32</f>
        <v>0.86277484344214528</v>
      </c>
      <c r="D35" s="1573">
        <f>+D32/E32</f>
        <v>0.13722515655785472</v>
      </c>
      <c r="E35" s="1581">
        <v>1</v>
      </c>
    </row>
    <row r="36" spans="2:5">
      <c r="B36" s="1571" t="s">
        <v>1041</v>
      </c>
      <c r="C36" s="1573">
        <f>+C33/C32</f>
        <v>0.52628870400548933</v>
      </c>
      <c r="D36" s="1573">
        <f>+D33/D32</f>
        <v>0.57263228850690928</v>
      </c>
      <c r="E36" s="1573">
        <f>+E33/E32</f>
        <v>0.53264820964414883</v>
      </c>
    </row>
    <row r="37" spans="2:5">
      <c r="B37" s="1571" t="s">
        <v>1042</v>
      </c>
      <c r="C37" s="1573">
        <f>+C34/C32</f>
        <v>0.47371129599451067</v>
      </c>
      <c r="D37" s="1573">
        <f>+D34/D32</f>
        <v>0.42736771149309066</v>
      </c>
      <c r="E37" s="1573">
        <f>+E34/E32</f>
        <v>0.46735179035585117</v>
      </c>
    </row>
    <row r="38" spans="2:5">
      <c r="B38" s="1575" t="s">
        <v>1033</v>
      </c>
      <c r="C38" s="1574"/>
      <c r="D38" s="1574"/>
      <c r="E38" s="1574"/>
    </row>
    <row r="39" spans="2:5">
      <c r="B39" s="1577" t="s">
        <v>1034</v>
      </c>
      <c r="C39" s="1578">
        <v>77391.31</v>
      </c>
      <c r="D39" s="1578">
        <v>38343.360000000001</v>
      </c>
      <c r="E39" s="1578">
        <f>+C39+D39</f>
        <v>115734.67</v>
      </c>
    </row>
    <row r="40" spans="2:5">
      <c r="B40" s="1571" t="s">
        <v>1045</v>
      </c>
      <c r="C40" s="1572">
        <f>+E9+E17+E18+E22+E24+E25+E27</f>
        <v>48113.686136213357</v>
      </c>
      <c r="D40" s="1572">
        <f>+E10+E15</f>
        <v>7238.6607978840675</v>
      </c>
      <c r="E40" s="1572">
        <f>+C40+D40</f>
        <v>55352.346934097426</v>
      </c>
    </row>
    <row r="41" spans="2:5">
      <c r="B41" s="1571" t="s">
        <v>1035</v>
      </c>
      <c r="C41" s="1572">
        <f>+E21+E23+E26</f>
        <v>18699.228565131143</v>
      </c>
      <c r="D41" s="1572">
        <f>+E4+E5+E6+E11+E12+E14</f>
        <v>31104.694732201897</v>
      </c>
      <c r="E41" s="1572">
        <f>+C41+D41</f>
        <v>49803.923297333036</v>
      </c>
    </row>
    <row r="42" spans="2:5">
      <c r="B42" s="1571" t="s">
        <v>1046</v>
      </c>
      <c r="C42" s="1572">
        <f>+E16</f>
        <v>10578.399823672031</v>
      </c>
      <c r="D42" s="1572">
        <v>0</v>
      </c>
      <c r="E42" s="1572">
        <f>+C42+D42</f>
        <v>10578.399823672031</v>
      </c>
    </row>
    <row r="43" spans="2:5">
      <c r="B43" s="1571" t="s">
        <v>1036</v>
      </c>
      <c r="C43" s="1573">
        <f>+C40/C39</f>
        <v>0.62169365186108572</v>
      </c>
      <c r="D43" s="1573">
        <f>+D40/D39</f>
        <v>0.18878524985510053</v>
      </c>
      <c r="E43" s="1573">
        <f>+E40/E39</f>
        <v>0.47826936331263076</v>
      </c>
    </row>
    <row r="44" spans="2:5">
      <c r="B44" s="1571" t="s">
        <v>1037</v>
      </c>
      <c r="C44" s="1573">
        <f>+C41/C39</f>
        <v>0.24161922785815543</v>
      </c>
      <c r="D44" s="1573">
        <f>+D41/D39</f>
        <v>0.81121463356893853</v>
      </c>
      <c r="E44" s="1573">
        <f>+E41/E39</f>
        <v>0.43032846853352619</v>
      </c>
    </row>
    <row r="45" spans="2:5">
      <c r="B45" s="1571" t="s">
        <v>1047</v>
      </c>
      <c r="C45" s="1573">
        <f>+C42/C39</f>
        <v>0.13668717875006936</v>
      </c>
      <c r="D45" s="1573"/>
      <c r="E45" s="1573">
        <f>+E42/E39</f>
        <v>9.1402168629953595E-2</v>
      </c>
    </row>
    <row r="46" spans="2:5">
      <c r="B46" s="1579" t="s">
        <v>599</v>
      </c>
      <c r="C46" s="1580">
        <f>+C32-C39</f>
        <v>15880.690000000002</v>
      </c>
      <c r="D46" s="1580">
        <f>+D32-D39</f>
        <v>-23508.36</v>
      </c>
      <c r="E46" s="1580">
        <f>+E32-E39</f>
        <v>-7627.6699999999983</v>
      </c>
    </row>
    <row r="47" spans="2:5">
      <c r="B47" s="1571" t="s">
        <v>1038</v>
      </c>
      <c r="C47" s="1573">
        <f>+C46/C32</f>
        <v>0.17026213654687369</v>
      </c>
      <c r="D47" s="1573">
        <f>+D46/D32</f>
        <v>-1.584655207280081</v>
      </c>
      <c r="E47" s="1573">
        <f>+E46/E32</f>
        <v>-7.0556670705874722E-2</v>
      </c>
    </row>
    <row r="48" spans="2:5">
      <c r="B48" s="1571" t="s">
        <v>1048</v>
      </c>
      <c r="C48" s="1573">
        <f>+C39/C32</f>
        <v>0.82973786345312628</v>
      </c>
      <c r="D48" s="1573">
        <f>+D39/D32</f>
        <v>2.5846552072800808</v>
      </c>
      <c r="E48" s="1573">
        <f>+E39/E32</f>
        <v>1.0705566707058747</v>
      </c>
    </row>
  </sheetData>
  <autoFilter ref="C3:G28"/>
  <mergeCells count="4">
    <mergeCell ref="H4:H6"/>
    <mergeCell ref="D2:F2"/>
    <mergeCell ref="B2:B3"/>
    <mergeCell ref="B30:E30"/>
  </mergeCells>
  <pageMargins left="0.7" right="0.7" top="0.75" bottom="0.75" header="0.3" footer="0.3"/>
  <pageSetup scale="40" orientation="landscape" r:id="rId1"/>
</worksheet>
</file>

<file path=xl/worksheets/sheet33.xml><?xml version="1.0" encoding="utf-8"?>
<worksheet xmlns="http://schemas.openxmlformats.org/spreadsheetml/2006/main" xmlns:r="http://schemas.openxmlformats.org/officeDocument/2006/relationships">
  <dimension ref="A1:J60"/>
  <sheetViews>
    <sheetView zoomScale="70" workbookViewId="0">
      <selection activeCell="A26" sqref="A2:A26"/>
    </sheetView>
  </sheetViews>
  <sheetFormatPr defaultRowHeight="14.25"/>
  <cols>
    <col min="1" max="1" width="75.5703125" style="134" customWidth="1"/>
    <col min="2" max="2" width="61.140625" style="113" customWidth="1"/>
    <col min="3" max="3" width="28.28515625" style="113" hidden="1" customWidth="1"/>
    <col min="4" max="4" width="49.85546875" style="15" customWidth="1"/>
    <col min="5" max="5" width="42.42578125" style="15" customWidth="1"/>
    <col min="6" max="6" width="33.28515625" hidden="1" customWidth="1"/>
    <col min="7" max="7" width="12.5703125" customWidth="1"/>
    <col min="8" max="8" width="74.5703125" style="131" customWidth="1"/>
    <col min="10" max="10" width="43" bestFit="1" customWidth="1"/>
  </cols>
  <sheetData>
    <row r="1" spans="1:10" ht="15">
      <c r="A1" s="100" t="s">
        <v>510</v>
      </c>
      <c r="B1" s="100" t="s">
        <v>511</v>
      </c>
      <c r="C1" s="101" t="s">
        <v>512</v>
      </c>
      <c r="D1" s="102" t="s">
        <v>513</v>
      </c>
      <c r="E1" s="103" t="s">
        <v>514</v>
      </c>
      <c r="F1" s="104"/>
      <c r="G1" s="105"/>
      <c r="H1" s="106"/>
      <c r="J1" s="107"/>
    </row>
    <row r="2" spans="1:10">
      <c r="A2" s="108" t="s">
        <v>515</v>
      </c>
      <c r="B2" s="108" t="s">
        <v>515</v>
      </c>
      <c r="C2" s="108" t="s">
        <v>515</v>
      </c>
      <c r="D2" s="108" t="s">
        <v>515</v>
      </c>
      <c r="E2" s="108" t="s">
        <v>515</v>
      </c>
      <c r="F2" s="104"/>
      <c r="G2" s="105"/>
      <c r="H2" s="106"/>
      <c r="J2" s="108" t="s">
        <v>515</v>
      </c>
    </row>
    <row r="3" spans="1:10" ht="28.5">
      <c r="A3" s="1367" t="s">
        <v>646</v>
      </c>
      <c r="B3" s="109" t="s">
        <v>516</v>
      </c>
      <c r="C3" s="110" t="s">
        <v>517</v>
      </c>
      <c r="D3" s="111" t="s">
        <v>518</v>
      </c>
      <c r="E3" s="112" t="s">
        <v>519</v>
      </c>
      <c r="F3" s="113" t="s">
        <v>520</v>
      </c>
      <c r="G3" s="105"/>
      <c r="H3" s="106"/>
      <c r="J3" s="108" t="s">
        <v>568</v>
      </c>
    </row>
    <row r="4" spans="1:10" ht="28.5">
      <c r="A4" s="1368" t="s">
        <v>647</v>
      </c>
      <c r="B4" s="115" t="s">
        <v>521</v>
      </c>
      <c r="C4" s="110" t="s">
        <v>522</v>
      </c>
      <c r="D4" s="116" t="s">
        <v>523</v>
      </c>
      <c r="E4" s="117" t="s">
        <v>524</v>
      </c>
      <c r="F4" s="113" t="s">
        <v>525</v>
      </c>
      <c r="G4" s="118"/>
      <c r="H4" s="119"/>
      <c r="J4" s="120"/>
    </row>
    <row r="5" spans="1:10" ht="42.75">
      <c r="A5" s="114" t="s">
        <v>526</v>
      </c>
      <c r="B5" s="115" t="s">
        <v>527</v>
      </c>
      <c r="C5" s="15"/>
      <c r="D5" s="116" t="s">
        <v>528</v>
      </c>
      <c r="E5" s="117" t="s">
        <v>529</v>
      </c>
      <c r="F5" s="113" t="s">
        <v>530</v>
      </c>
      <c r="G5" s="118"/>
      <c r="H5" s="119"/>
      <c r="J5" s="120"/>
    </row>
    <row r="6" spans="1:10" ht="42.75">
      <c r="A6" s="1368" t="s">
        <v>648</v>
      </c>
      <c r="B6" s="115" t="s">
        <v>531</v>
      </c>
      <c r="C6" s="15"/>
      <c r="D6" s="116" t="s">
        <v>532</v>
      </c>
      <c r="E6" s="117" t="s">
        <v>533</v>
      </c>
      <c r="G6" s="118"/>
      <c r="H6" s="119"/>
      <c r="J6" s="120"/>
    </row>
    <row r="7" spans="1:10" ht="42.75">
      <c r="A7" s="114" t="s">
        <v>534</v>
      </c>
      <c r="B7" s="115" t="s">
        <v>535</v>
      </c>
      <c r="C7" s="15"/>
      <c r="D7" s="116" t="s">
        <v>536</v>
      </c>
      <c r="E7" s="117" t="s">
        <v>537</v>
      </c>
      <c r="G7" s="118"/>
      <c r="H7" s="119"/>
      <c r="J7" s="120"/>
    </row>
    <row r="8" spans="1:10" ht="42.75">
      <c r="A8" s="114" t="s">
        <v>640</v>
      </c>
      <c r="B8" s="121" t="s">
        <v>6</v>
      </c>
      <c r="C8" s="15"/>
      <c r="D8" s="116" t="s">
        <v>7</v>
      </c>
      <c r="E8" s="117" t="s">
        <v>8</v>
      </c>
      <c r="G8" s="118"/>
      <c r="H8" s="119"/>
      <c r="J8" s="120"/>
    </row>
    <row r="9" spans="1:10" ht="28.5">
      <c r="A9" s="114" t="s">
        <v>9</v>
      </c>
      <c r="B9" s="122"/>
      <c r="C9" s="15"/>
      <c r="D9" s="116" t="s">
        <v>10</v>
      </c>
      <c r="E9" s="117" t="s">
        <v>11</v>
      </c>
      <c r="G9" s="118"/>
      <c r="H9" s="119"/>
      <c r="J9" s="120"/>
    </row>
    <row r="10" spans="1:10" ht="42.75">
      <c r="A10" s="115" t="s">
        <v>12</v>
      </c>
      <c r="C10" s="15"/>
      <c r="D10" s="116" t="s">
        <v>13</v>
      </c>
      <c r="E10" s="117" t="s">
        <v>14</v>
      </c>
      <c r="G10" s="118"/>
      <c r="H10" s="119"/>
      <c r="J10" s="120"/>
    </row>
    <row r="11" spans="1:10" ht="42.75">
      <c r="A11" s="114" t="s">
        <v>15</v>
      </c>
      <c r="C11" s="15"/>
      <c r="D11" s="116" t="s">
        <v>16</v>
      </c>
      <c r="E11" s="117" t="s">
        <v>17</v>
      </c>
      <c r="G11" s="118"/>
      <c r="H11" s="119"/>
      <c r="J11" s="120"/>
    </row>
    <row r="12" spans="1:10" ht="28.5">
      <c r="A12" s="114" t="s">
        <v>18</v>
      </c>
      <c r="C12" s="15"/>
      <c r="D12" s="116" t="s">
        <v>19</v>
      </c>
      <c r="E12" s="117" t="s">
        <v>20</v>
      </c>
      <c r="G12" s="118"/>
      <c r="H12" s="119"/>
      <c r="J12" s="120"/>
    </row>
    <row r="13" spans="1:10" ht="28.5">
      <c r="A13" s="114" t="s">
        <v>590</v>
      </c>
      <c r="C13" s="15"/>
      <c r="D13" s="116" t="s">
        <v>24</v>
      </c>
      <c r="E13" s="117" t="s">
        <v>25</v>
      </c>
      <c r="G13" s="118"/>
      <c r="H13" s="119"/>
      <c r="J13" s="120"/>
    </row>
    <row r="14" spans="1:10" ht="28.5">
      <c r="A14" s="114" t="s">
        <v>26</v>
      </c>
      <c r="C14" s="15"/>
      <c r="D14" s="116" t="s">
        <v>27</v>
      </c>
      <c r="E14" s="117" t="s">
        <v>28</v>
      </c>
      <c r="G14" s="118"/>
      <c r="H14" s="119"/>
      <c r="J14" s="120"/>
    </row>
    <row r="15" spans="1:10" ht="42.75">
      <c r="A15" s="115" t="s">
        <v>38</v>
      </c>
      <c r="B15" s="115" t="s">
        <v>29</v>
      </c>
      <c r="C15" s="15"/>
      <c r="D15" s="123" t="s">
        <v>30</v>
      </c>
      <c r="E15" s="117" t="s">
        <v>31</v>
      </c>
      <c r="G15" s="118"/>
      <c r="H15" s="119"/>
      <c r="J15" s="120"/>
    </row>
    <row r="16" spans="1:10" ht="28.5">
      <c r="A16" s="115" t="s">
        <v>42</v>
      </c>
      <c r="B16" s="115" t="s">
        <v>32</v>
      </c>
      <c r="C16" s="15"/>
      <c r="D16" s="124"/>
      <c r="E16" s="117" t="s">
        <v>33</v>
      </c>
      <c r="G16" s="118"/>
      <c r="H16" s="119"/>
      <c r="J16" s="125"/>
    </row>
    <row r="17" spans="1:10" ht="28.5">
      <c r="A17" s="115" t="s">
        <v>44</v>
      </c>
      <c r="B17" s="115" t="s">
        <v>34</v>
      </c>
      <c r="C17" s="15"/>
      <c r="D17" s="126"/>
      <c r="E17" s="117" t="s">
        <v>35</v>
      </c>
      <c r="G17" s="118"/>
      <c r="H17" s="119"/>
      <c r="J17" s="120"/>
    </row>
    <row r="18" spans="1:10" ht="28.5">
      <c r="A18" s="115" t="s">
        <v>46</v>
      </c>
      <c r="B18" s="115" t="s">
        <v>36</v>
      </c>
      <c r="C18" s="15"/>
      <c r="D18" s="127"/>
      <c r="E18" s="117" t="s">
        <v>37</v>
      </c>
      <c r="G18" s="118"/>
      <c r="H18" s="119"/>
      <c r="J18" s="120"/>
    </row>
    <row r="19" spans="1:10">
      <c r="A19" s="115" t="s">
        <v>649</v>
      </c>
      <c r="C19" s="15"/>
      <c r="E19" s="117" t="s">
        <v>39</v>
      </c>
      <c r="G19" s="118"/>
      <c r="H19" s="119"/>
    </row>
    <row r="20" spans="1:10" ht="28.5">
      <c r="A20" s="114" t="s">
        <v>47</v>
      </c>
      <c r="B20" s="115" t="s">
        <v>40</v>
      </c>
      <c r="C20" s="15"/>
      <c r="E20" s="117" t="s">
        <v>41</v>
      </c>
      <c r="G20" s="118"/>
      <c r="H20" s="119"/>
    </row>
    <row r="21" spans="1:10" ht="42.75">
      <c r="A21" s="114" t="s">
        <v>49</v>
      </c>
      <c r="B21" s="114" t="s">
        <v>48</v>
      </c>
      <c r="C21" s="15"/>
      <c r="E21" s="117" t="s">
        <v>43</v>
      </c>
      <c r="G21" s="118"/>
      <c r="H21" s="119"/>
    </row>
    <row r="22" spans="1:10">
      <c r="A22" s="114" t="s">
        <v>50</v>
      </c>
      <c r="C22" s="15"/>
      <c r="E22" s="128" t="s">
        <v>45</v>
      </c>
      <c r="G22" s="118"/>
      <c r="H22" s="119"/>
    </row>
    <row r="23" spans="1:10">
      <c r="A23" s="114" t="s">
        <v>51</v>
      </c>
      <c r="C23" s="15"/>
      <c r="E23" s="129"/>
      <c r="G23" s="105"/>
      <c r="H23" s="130"/>
    </row>
    <row r="24" spans="1:10">
      <c r="A24" s="114" t="s">
        <v>52</v>
      </c>
      <c r="C24" s="15"/>
      <c r="G24" s="105"/>
      <c r="H24" s="130"/>
    </row>
    <row r="25" spans="1:10">
      <c r="A25" s="1369" t="s">
        <v>53</v>
      </c>
      <c r="C25" s="15"/>
      <c r="G25" s="105"/>
      <c r="H25" s="130"/>
    </row>
    <row r="26" spans="1:10">
      <c r="A26" s="1369" t="s">
        <v>650</v>
      </c>
      <c r="C26" s="15"/>
    </row>
    <row r="27" spans="1:10">
      <c r="A27" s="133"/>
      <c r="C27" s="15"/>
    </row>
    <row r="28" spans="1:10">
      <c r="C28" s="15"/>
      <c r="J28" s="132"/>
    </row>
    <row r="29" spans="1:10">
      <c r="C29" s="15"/>
      <c r="J29" s="132"/>
    </row>
    <row r="30" spans="1:10">
      <c r="C30" s="15"/>
      <c r="J30" s="132"/>
    </row>
    <row r="31" spans="1:10">
      <c r="C31" s="15"/>
      <c r="J31" s="132"/>
    </row>
    <row r="32" spans="1:10">
      <c r="C32" s="15"/>
      <c r="J32" s="132"/>
    </row>
    <row r="33" spans="3:10">
      <c r="C33" s="15"/>
      <c r="J33" s="132"/>
    </row>
    <row r="34" spans="3:10">
      <c r="C34" s="15"/>
      <c r="J34" s="132"/>
    </row>
    <row r="35" spans="3:10">
      <c r="C35" s="15"/>
    </row>
    <row r="36" spans="3:10">
      <c r="C36" s="15"/>
    </row>
    <row r="37" spans="3:10">
      <c r="C37" s="15"/>
    </row>
    <row r="38" spans="3:10">
      <c r="C38" s="15"/>
      <c r="E38" s="135"/>
    </row>
    <row r="39" spans="3:10">
      <c r="C39" s="15"/>
    </row>
    <row r="40" spans="3:10">
      <c r="C40" s="15"/>
    </row>
    <row r="41" spans="3:10">
      <c r="C41" s="15"/>
      <c r="E41" s="136"/>
    </row>
    <row r="42" spans="3:10">
      <c r="C42" s="15"/>
    </row>
    <row r="43" spans="3:10">
      <c r="C43" s="15"/>
    </row>
    <row r="44" spans="3:10">
      <c r="C44" s="15"/>
    </row>
    <row r="45" spans="3:10">
      <c r="C45" s="15"/>
    </row>
    <row r="46" spans="3:10">
      <c r="C46" s="15"/>
    </row>
    <row r="47" spans="3:10">
      <c r="C47" s="15"/>
    </row>
    <row r="48" spans="3:10">
      <c r="C48" s="15"/>
    </row>
    <row r="49" spans="3:5">
      <c r="C49" s="15"/>
    </row>
    <row r="50" spans="3:5">
      <c r="C50" s="15"/>
    </row>
    <row r="51" spans="3:5">
      <c r="C51" s="15"/>
    </row>
    <row r="52" spans="3:5">
      <c r="C52" s="15"/>
    </row>
    <row r="53" spans="3:5">
      <c r="C53" s="15"/>
      <c r="E53" s="136"/>
    </row>
    <row r="54" spans="3:5">
      <c r="C54" s="15"/>
      <c r="E54" s="136"/>
    </row>
    <row r="55" spans="3:5">
      <c r="C55" s="15"/>
    </row>
    <row r="56" spans="3:5">
      <c r="C56" s="15"/>
    </row>
    <row r="60" spans="3:5">
      <c r="E60" s="137"/>
    </row>
  </sheetData>
  <customSheetViews>
    <customSheetView guid="{E26F941C-F347-432D-B4B3-73B25F002075}" scale="70" hiddenColumns="1" state="hidden">
      <selection activeCell="E33" sqref="E33"/>
      <pageMargins left="0.17" right="0.16" top="0.19" bottom="0.17" header="0.17" footer="0.17"/>
      <pageSetup paperSize="9" scale="70" orientation="landscape" r:id="rId1"/>
      <headerFooter alignWithMargins="0"/>
    </customSheetView>
  </customSheetViews>
  <phoneticPr fontId="29" type="noConversion"/>
  <pageMargins left="0.17" right="0.16" top="0.19" bottom="0.17" header="0.17" footer="0.17"/>
  <pageSetup paperSize="9" scale="70" orientation="landscape" r:id="rId2"/>
  <headerFooter alignWithMargins="0"/>
</worksheet>
</file>

<file path=xl/worksheets/sheet34.xml><?xml version="1.0" encoding="utf-8"?>
<worksheet xmlns="http://schemas.openxmlformats.org/spreadsheetml/2006/main" xmlns:r="http://schemas.openxmlformats.org/officeDocument/2006/relationships">
  <dimension ref="A1:G40"/>
  <sheetViews>
    <sheetView zoomScale="85" workbookViewId="0">
      <selection activeCell="A14" sqref="A14"/>
    </sheetView>
  </sheetViews>
  <sheetFormatPr defaultRowHeight="14.25"/>
  <cols>
    <col min="1" max="1" width="69.28515625" style="150" customWidth="1"/>
    <col min="2" max="2" width="74" style="150" customWidth="1"/>
    <col min="3" max="3" width="0" style="136" hidden="1" customWidth="1"/>
    <col min="4" max="4" width="29.5703125" style="136" customWidth="1"/>
    <col min="5" max="5" width="40.140625" style="150" customWidth="1"/>
    <col min="6" max="6" width="41.7109375" customWidth="1"/>
  </cols>
  <sheetData>
    <row r="1" spans="1:7" ht="15">
      <c r="A1" s="100" t="s">
        <v>510</v>
      </c>
      <c r="B1" s="100" t="s">
        <v>511</v>
      </c>
      <c r="C1" s="103" t="s">
        <v>512</v>
      </c>
      <c r="D1" s="102" t="s">
        <v>513</v>
      </c>
      <c r="E1" s="138" t="s">
        <v>514</v>
      </c>
      <c r="G1" s="3"/>
    </row>
    <row r="2" spans="1:7" ht="28.5">
      <c r="A2" s="139" t="s">
        <v>54</v>
      </c>
      <c r="B2" s="139" t="s">
        <v>54</v>
      </c>
      <c r="C2" s="139" t="s">
        <v>54</v>
      </c>
      <c r="D2" s="139" t="s">
        <v>54</v>
      </c>
      <c r="E2" s="139" t="s">
        <v>54</v>
      </c>
      <c r="G2" s="3"/>
    </row>
    <row r="3" spans="1:7">
      <c r="A3" s="139" t="s">
        <v>55</v>
      </c>
      <c r="B3" s="139" t="s">
        <v>56</v>
      </c>
      <c r="C3" s="110" t="s">
        <v>517</v>
      </c>
      <c r="D3" s="140" t="s">
        <v>57</v>
      </c>
      <c r="E3" s="112" t="s">
        <v>519</v>
      </c>
      <c r="G3" s="20"/>
    </row>
    <row r="4" spans="1:7" ht="28.5">
      <c r="A4" s="141" t="s">
        <v>58</v>
      </c>
      <c r="B4" s="141" t="s">
        <v>59</v>
      </c>
      <c r="C4" s="110" t="s">
        <v>522</v>
      </c>
      <c r="D4" s="142" t="s">
        <v>60</v>
      </c>
      <c r="E4" s="117" t="s">
        <v>524</v>
      </c>
      <c r="G4" s="20"/>
    </row>
    <row r="5" spans="1:7">
      <c r="A5" s="141" t="s">
        <v>91</v>
      </c>
      <c r="B5" s="143" t="s">
        <v>92</v>
      </c>
      <c r="C5" s="15"/>
      <c r="D5" s="144" t="s">
        <v>93</v>
      </c>
      <c r="E5" s="117" t="s">
        <v>529</v>
      </c>
      <c r="G5" s="20"/>
    </row>
    <row r="6" spans="1:7">
      <c r="A6" s="141" t="s">
        <v>94</v>
      </c>
      <c r="B6" s="145"/>
      <c r="C6" s="15"/>
      <c r="D6" s="15"/>
      <c r="E6" s="117" t="s">
        <v>533</v>
      </c>
      <c r="G6" s="20"/>
    </row>
    <row r="7" spans="1:7" ht="28.5">
      <c r="A7" s="141" t="s">
        <v>95</v>
      </c>
      <c r="B7" s="145"/>
      <c r="C7" s="15"/>
      <c r="D7" s="15"/>
      <c r="E7" s="117" t="s">
        <v>537</v>
      </c>
      <c r="G7" s="20"/>
    </row>
    <row r="8" spans="1:7" ht="28.5">
      <c r="A8" s="141" t="s">
        <v>96</v>
      </c>
      <c r="B8" s="145"/>
      <c r="C8" s="15"/>
      <c r="D8" s="15"/>
      <c r="E8" s="117" t="s">
        <v>8</v>
      </c>
      <c r="G8" s="20"/>
    </row>
    <row r="9" spans="1:7">
      <c r="A9" s="141" t="s">
        <v>97</v>
      </c>
      <c r="B9" s="146"/>
      <c r="C9" s="15"/>
      <c r="D9" s="15"/>
      <c r="E9" s="117" t="s">
        <v>11</v>
      </c>
      <c r="G9" s="20"/>
    </row>
    <row r="10" spans="1:7">
      <c r="A10" s="141" t="s">
        <v>98</v>
      </c>
      <c r="B10" s="146"/>
      <c r="C10" s="15"/>
      <c r="D10" s="15"/>
      <c r="E10" s="117" t="s">
        <v>14</v>
      </c>
      <c r="G10" s="20"/>
    </row>
    <row r="11" spans="1:7">
      <c r="A11" s="141" t="s">
        <v>99</v>
      </c>
      <c r="B11" s="146"/>
      <c r="C11" s="15"/>
      <c r="D11" s="15"/>
      <c r="E11" s="117" t="s">
        <v>17</v>
      </c>
      <c r="G11" s="20"/>
    </row>
    <row r="12" spans="1:7" ht="28.5">
      <c r="A12" s="141" t="s">
        <v>107</v>
      </c>
      <c r="B12" s="146"/>
      <c r="C12" s="15"/>
      <c r="D12" s="15"/>
      <c r="E12" s="117" t="s">
        <v>20</v>
      </c>
      <c r="G12" s="20"/>
    </row>
    <row r="13" spans="1:7">
      <c r="A13" s="141" t="s">
        <v>108</v>
      </c>
      <c r="B13" s="146"/>
      <c r="C13" s="15"/>
      <c r="D13" s="15"/>
      <c r="E13" s="117" t="s">
        <v>25</v>
      </c>
      <c r="G13" s="20"/>
    </row>
    <row r="14" spans="1:7">
      <c r="A14" s="141" t="s">
        <v>109</v>
      </c>
      <c r="B14" s="146"/>
      <c r="C14" s="15"/>
      <c r="D14" s="15"/>
      <c r="E14" s="117" t="s">
        <v>28</v>
      </c>
      <c r="G14" s="20"/>
    </row>
    <row r="15" spans="1:7">
      <c r="A15" s="1382" t="s">
        <v>110</v>
      </c>
      <c r="B15" s="146"/>
      <c r="C15" s="15"/>
      <c r="D15" s="15"/>
      <c r="E15" s="117"/>
      <c r="G15" s="20"/>
    </row>
    <row r="16" spans="1:7">
      <c r="A16" s="1382" t="s">
        <v>653</v>
      </c>
      <c r="B16" s="146"/>
      <c r="C16" s="15"/>
      <c r="D16" s="15"/>
      <c r="E16" s="117"/>
      <c r="G16" s="20"/>
    </row>
    <row r="17" spans="1:7" ht="28.5">
      <c r="A17" s="128" t="s">
        <v>649</v>
      </c>
      <c r="B17" s="146"/>
      <c r="C17" s="15"/>
      <c r="D17" s="15"/>
      <c r="E17" s="117" t="s">
        <v>31</v>
      </c>
      <c r="G17" s="20"/>
    </row>
    <row r="18" spans="1:7">
      <c r="A18" s="146"/>
      <c r="B18" s="146"/>
      <c r="C18" s="15"/>
      <c r="D18" s="15"/>
      <c r="E18" s="117" t="s">
        <v>33</v>
      </c>
      <c r="G18" s="20"/>
    </row>
    <row r="19" spans="1:7">
      <c r="A19" s="146"/>
      <c r="B19" s="146"/>
      <c r="C19" s="15"/>
      <c r="D19" s="15"/>
      <c r="E19" s="117" t="s">
        <v>35</v>
      </c>
      <c r="G19" s="20"/>
    </row>
    <row r="20" spans="1:7">
      <c r="A20" s="146"/>
      <c r="B20" s="146"/>
      <c r="C20" s="15"/>
      <c r="D20" s="15"/>
      <c r="E20" s="117" t="s">
        <v>37</v>
      </c>
    </row>
    <row r="21" spans="1:7">
      <c r="A21" s="146"/>
      <c r="B21" s="146"/>
      <c r="C21" s="15"/>
      <c r="D21" s="15"/>
      <c r="E21" s="117" t="s">
        <v>39</v>
      </c>
    </row>
    <row r="22" spans="1:7">
      <c r="A22" s="146"/>
      <c r="B22" s="146"/>
      <c r="C22" s="15"/>
      <c r="D22" s="15"/>
      <c r="E22" s="117" t="s">
        <v>41</v>
      </c>
    </row>
    <row r="23" spans="1:7" ht="42.75">
      <c r="A23" s="146"/>
      <c r="B23" s="146"/>
      <c r="C23" s="15"/>
      <c r="D23" s="15"/>
      <c r="E23" s="117" t="s">
        <v>43</v>
      </c>
    </row>
    <row r="24" spans="1:7">
      <c r="A24" s="146"/>
      <c r="B24" s="113"/>
      <c r="C24" s="15"/>
      <c r="D24" s="15"/>
      <c r="E24" s="117" t="s">
        <v>45</v>
      </c>
    </row>
    <row r="25" spans="1:7">
      <c r="A25" s="146"/>
      <c r="B25" s="113"/>
      <c r="C25" s="15"/>
      <c r="D25" s="15"/>
      <c r="E25" s="117" t="s">
        <v>111</v>
      </c>
    </row>
    <row r="26" spans="1:7" ht="28.5">
      <c r="A26" s="113"/>
      <c r="B26" s="113"/>
      <c r="C26" s="15"/>
      <c r="D26" s="15"/>
      <c r="E26" s="117" t="s">
        <v>112</v>
      </c>
    </row>
    <row r="27" spans="1:7">
      <c r="A27" s="113"/>
      <c r="B27" s="113"/>
      <c r="C27" s="15"/>
      <c r="D27" s="15"/>
      <c r="E27" s="147" t="s">
        <v>113</v>
      </c>
    </row>
    <row r="28" spans="1:7">
      <c r="A28" s="113"/>
      <c r="B28" s="113"/>
      <c r="C28" s="15"/>
      <c r="D28" s="15"/>
      <c r="E28" s="148"/>
    </row>
    <row r="29" spans="1:7">
      <c r="A29" s="113"/>
      <c r="B29" s="113"/>
      <c r="C29" s="15"/>
      <c r="D29" s="15"/>
      <c r="E29" s="149"/>
    </row>
    <row r="30" spans="1:7">
      <c r="A30" s="113"/>
      <c r="B30" s="113"/>
      <c r="C30" s="15"/>
      <c r="D30" s="15"/>
    </row>
    <row r="31" spans="1:7">
      <c r="A31" s="113"/>
      <c r="B31" s="113"/>
      <c r="C31" s="15"/>
      <c r="D31" s="15"/>
    </row>
    <row r="32" spans="1:7">
      <c r="A32" s="113"/>
      <c r="B32" s="113"/>
      <c r="C32" s="15"/>
      <c r="D32" s="15"/>
    </row>
    <row r="33" spans="1:5">
      <c r="A33" s="134"/>
      <c r="B33" s="113"/>
      <c r="C33" s="15"/>
      <c r="D33" s="15"/>
    </row>
    <row r="34" spans="1:5">
      <c r="A34" s="134"/>
      <c r="B34" s="113"/>
      <c r="C34" s="15"/>
      <c r="D34" s="15"/>
    </row>
    <row r="35" spans="1:5">
      <c r="A35" s="134"/>
      <c r="B35" s="113"/>
      <c r="C35" s="15"/>
      <c r="D35" s="15"/>
    </row>
    <row r="36" spans="1:5">
      <c r="A36" s="134"/>
      <c r="B36" s="113"/>
      <c r="C36" s="15"/>
      <c r="D36" s="15"/>
    </row>
    <row r="37" spans="1:5">
      <c r="A37" s="134"/>
      <c r="B37" s="113"/>
      <c r="C37" s="15"/>
      <c r="D37" s="15"/>
      <c r="E37" s="113"/>
    </row>
    <row r="38" spans="1:5">
      <c r="A38" s="134"/>
      <c r="B38" s="113"/>
      <c r="C38" s="15"/>
      <c r="D38" s="15"/>
      <c r="E38" s="113"/>
    </row>
    <row r="39" spans="1:5">
      <c r="A39" s="134"/>
      <c r="B39" s="113"/>
      <c r="C39" s="15"/>
      <c r="D39" s="15"/>
      <c r="E39" s="113"/>
    </row>
    <row r="40" spans="1:5">
      <c r="A40" s="134"/>
      <c r="B40" s="113"/>
      <c r="C40" s="15"/>
      <c r="D40" s="15"/>
      <c r="E40" s="113"/>
    </row>
  </sheetData>
  <customSheetViews>
    <customSheetView guid="{E26F941C-F347-432D-B4B3-73B25F002075}" scale="85" hiddenRows="1" hiddenColumns="1" state="hidden" topLeftCell="B1">
      <selection activeCell="E3" sqref="E3:E25"/>
      <pageMargins left="0.17" right="0.16" top="0.17" bottom="1" header="0.17" footer="0.5"/>
      <pageSetup paperSize="9" scale="60" orientation="landscape" r:id="rId1"/>
      <headerFooter alignWithMargins="0"/>
    </customSheetView>
  </customSheetViews>
  <phoneticPr fontId="29" type="noConversion"/>
  <pageMargins left="0.17" right="0.16" top="0.17" bottom="1" header="0.17" footer="0.5"/>
  <pageSetup paperSize="9" scale="60" orientation="landscape" r:id="rId2"/>
  <headerFooter alignWithMargins="0"/>
</worksheet>
</file>

<file path=xl/worksheets/sheet35.xml><?xml version="1.0" encoding="utf-8"?>
<worksheet xmlns="http://schemas.openxmlformats.org/spreadsheetml/2006/main" xmlns:r="http://schemas.openxmlformats.org/officeDocument/2006/relationships">
  <dimension ref="A1:L43"/>
  <sheetViews>
    <sheetView topLeftCell="A3" workbookViewId="0">
      <selection activeCell="A19" sqref="A19"/>
    </sheetView>
  </sheetViews>
  <sheetFormatPr defaultRowHeight="12.75"/>
  <cols>
    <col min="1" max="1" width="51" style="163" customWidth="1"/>
    <col min="2" max="2" width="72.140625" style="164" customWidth="1"/>
    <col min="3" max="3" width="0" hidden="1" customWidth="1"/>
    <col min="4" max="4" width="50.5703125" customWidth="1"/>
    <col min="5" max="5" width="49.42578125" customWidth="1"/>
    <col min="6" max="6" width="50.42578125" customWidth="1"/>
  </cols>
  <sheetData>
    <row r="1" spans="1:12">
      <c r="A1" s="151" t="s">
        <v>510</v>
      </c>
      <c r="B1" s="151" t="s">
        <v>511</v>
      </c>
      <c r="C1" s="152" t="s">
        <v>512</v>
      </c>
      <c r="D1" s="153" t="s">
        <v>513</v>
      </c>
      <c r="E1" s="153" t="s">
        <v>514</v>
      </c>
      <c r="G1" s="3"/>
      <c r="H1" s="3"/>
      <c r="I1" s="3"/>
      <c r="J1" s="3"/>
    </row>
    <row r="2" spans="1:12" ht="28.5">
      <c r="A2" s="154" t="s">
        <v>54</v>
      </c>
      <c r="B2" s="154" t="s">
        <v>54</v>
      </c>
      <c r="C2" s="154" t="s">
        <v>54</v>
      </c>
      <c r="D2" s="154" t="s">
        <v>54</v>
      </c>
      <c r="E2" s="154" t="s">
        <v>54</v>
      </c>
      <c r="G2" s="3"/>
      <c r="H2" s="3"/>
      <c r="I2" s="3"/>
      <c r="J2" s="3"/>
    </row>
    <row r="3" spans="1:12" ht="42.75">
      <c r="A3" s="1380" t="s">
        <v>651</v>
      </c>
      <c r="B3" s="139" t="s">
        <v>114</v>
      </c>
      <c r="C3" s="155" t="s">
        <v>517</v>
      </c>
      <c r="D3" s="140" t="s">
        <v>115</v>
      </c>
      <c r="E3" s="112" t="s">
        <v>519</v>
      </c>
      <c r="G3" s="20"/>
      <c r="H3" s="20"/>
      <c r="I3" s="20"/>
      <c r="J3" s="20"/>
    </row>
    <row r="4" spans="1:12" ht="42.75">
      <c r="A4" s="1381" t="s">
        <v>652</v>
      </c>
      <c r="B4" s="141" t="s">
        <v>116</v>
      </c>
      <c r="C4" s="155" t="s">
        <v>522</v>
      </c>
      <c r="D4" s="142" t="s">
        <v>117</v>
      </c>
      <c r="E4" s="117" t="s">
        <v>524</v>
      </c>
      <c r="G4" s="20"/>
      <c r="H4" s="20"/>
      <c r="I4" s="20"/>
      <c r="J4" s="20"/>
      <c r="K4" s="157"/>
      <c r="L4" s="157"/>
    </row>
    <row r="5" spans="1:12" ht="42.75">
      <c r="A5" s="158" t="s">
        <v>118</v>
      </c>
      <c r="B5" s="141" t="s">
        <v>119</v>
      </c>
      <c r="C5" s="3"/>
      <c r="D5" s="142" t="s">
        <v>120</v>
      </c>
      <c r="E5" s="117" t="s">
        <v>529</v>
      </c>
      <c r="G5" s="20"/>
      <c r="H5" s="20"/>
      <c r="I5" s="20"/>
      <c r="J5" s="20"/>
      <c r="K5" s="157"/>
      <c r="L5" s="157"/>
    </row>
    <row r="6" spans="1:12" ht="28.5">
      <c r="A6" s="158" t="s">
        <v>121</v>
      </c>
      <c r="B6" s="141" t="s">
        <v>122</v>
      </c>
      <c r="C6" s="3"/>
      <c r="D6" s="142" t="s">
        <v>542</v>
      </c>
      <c r="E6" s="117" t="s">
        <v>543</v>
      </c>
      <c r="G6" s="20"/>
      <c r="H6" s="20"/>
      <c r="I6" s="20"/>
      <c r="J6" s="20"/>
      <c r="K6" s="157"/>
      <c r="L6" s="157"/>
    </row>
    <row r="7" spans="1:12" ht="14.25">
      <c r="A7" s="158" t="s">
        <v>544</v>
      </c>
      <c r="B7" s="141" t="s">
        <v>545</v>
      </c>
      <c r="C7" s="3"/>
      <c r="D7" s="142" t="s">
        <v>546</v>
      </c>
      <c r="E7" s="117" t="s">
        <v>537</v>
      </c>
      <c r="G7" s="20"/>
      <c r="H7" s="20"/>
      <c r="I7" s="20"/>
      <c r="J7" s="20"/>
      <c r="K7" s="157"/>
      <c r="L7" s="157"/>
    </row>
    <row r="8" spans="1:12" ht="28.5">
      <c r="A8" s="156" t="s">
        <v>547</v>
      </c>
      <c r="B8" s="141" t="s">
        <v>548</v>
      </c>
      <c r="C8" s="3"/>
      <c r="D8" s="142" t="s">
        <v>549</v>
      </c>
      <c r="E8" s="117" t="s">
        <v>8</v>
      </c>
      <c r="G8" s="20"/>
      <c r="H8" s="20"/>
      <c r="I8" s="20"/>
      <c r="J8" s="20"/>
      <c r="K8" s="157"/>
      <c r="L8" s="157"/>
    </row>
    <row r="9" spans="1:12" ht="42.75">
      <c r="A9" s="156" t="s">
        <v>550</v>
      </c>
      <c r="B9" s="141" t="s">
        <v>551</v>
      </c>
      <c r="C9" s="3"/>
      <c r="D9" s="142" t="s">
        <v>552</v>
      </c>
      <c r="E9" s="117" t="s">
        <v>11</v>
      </c>
      <c r="G9" s="20"/>
      <c r="H9" s="20"/>
      <c r="I9" s="20"/>
      <c r="J9" s="20"/>
      <c r="K9" s="157"/>
      <c r="L9" s="157"/>
    </row>
    <row r="10" spans="1:12" ht="14.25">
      <c r="A10" s="156" t="s">
        <v>555</v>
      </c>
      <c r="B10" s="128" t="s">
        <v>556</v>
      </c>
      <c r="C10" s="3"/>
      <c r="D10" s="144" t="s">
        <v>557</v>
      </c>
      <c r="E10" s="117" t="s">
        <v>558</v>
      </c>
      <c r="G10" s="20"/>
      <c r="H10" s="20"/>
      <c r="I10" s="20"/>
      <c r="J10" s="20"/>
      <c r="K10" s="157"/>
      <c r="L10" s="157"/>
    </row>
    <row r="11" spans="1:12" ht="14.25">
      <c r="A11" s="156" t="s">
        <v>559</v>
      </c>
      <c r="B11" s="113"/>
      <c r="C11" s="3"/>
      <c r="D11" s="15"/>
      <c r="E11" s="117" t="s">
        <v>560</v>
      </c>
      <c r="G11" s="20"/>
      <c r="H11" s="20"/>
      <c r="I11" s="20"/>
      <c r="J11" s="20"/>
      <c r="K11" s="157"/>
      <c r="L11" s="157"/>
    </row>
    <row r="12" spans="1:12" ht="14.25">
      <c r="A12" s="156" t="s">
        <v>561</v>
      </c>
      <c r="B12" s="113"/>
      <c r="C12" s="3"/>
      <c r="D12" s="15"/>
      <c r="E12" s="117" t="s">
        <v>14</v>
      </c>
      <c r="G12" s="20"/>
      <c r="H12" s="20"/>
      <c r="I12" s="20"/>
      <c r="J12" s="20"/>
      <c r="K12" s="157"/>
      <c r="L12" s="157"/>
    </row>
    <row r="13" spans="1:12" ht="14.25">
      <c r="A13" s="156" t="s">
        <v>562</v>
      </c>
      <c r="B13" s="113"/>
      <c r="C13" s="3"/>
      <c r="D13" s="15"/>
      <c r="E13" s="117" t="s">
        <v>17</v>
      </c>
      <c r="G13" s="20"/>
      <c r="H13" s="20"/>
      <c r="I13" s="20"/>
      <c r="J13" s="20"/>
      <c r="K13" s="157"/>
      <c r="L13" s="157"/>
    </row>
    <row r="14" spans="1:12" ht="28.5">
      <c r="A14" s="156" t="s">
        <v>563</v>
      </c>
      <c r="B14" s="113"/>
      <c r="C14" s="3"/>
      <c r="D14" s="15"/>
      <c r="E14" s="117" t="s">
        <v>20</v>
      </c>
      <c r="G14" s="20"/>
      <c r="H14" s="20"/>
      <c r="I14" s="20"/>
      <c r="J14" s="20"/>
      <c r="K14" s="157"/>
      <c r="L14" s="157"/>
    </row>
    <row r="15" spans="1:12" ht="42.75">
      <c r="A15" s="156" t="s">
        <v>564</v>
      </c>
      <c r="B15" s="113"/>
      <c r="C15" s="3"/>
      <c r="D15" s="15"/>
      <c r="E15" s="117" t="s">
        <v>25</v>
      </c>
      <c r="G15" s="20"/>
      <c r="H15" s="20"/>
      <c r="I15" s="20"/>
      <c r="J15" s="20"/>
      <c r="K15" s="157"/>
      <c r="L15" s="157"/>
    </row>
    <row r="16" spans="1:12" ht="14.25">
      <c r="A16" s="156" t="s">
        <v>565</v>
      </c>
      <c r="B16" s="113"/>
      <c r="C16" s="3"/>
      <c r="D16" s="15"/>
      <c r="E16" s="117" t="s">
        <v>28</v>
      </c>
      <c r="G16" s="20"/>
      <c r="H16" s="20"/>
      <c r="I16" s="20"/>
      <c r="J16" s="20"/>
      <c r="K16" s="157"/>
      <c r="L16" s="157"/>
    </row>
    <row r="17" spans="1:12" ht="28.5">
      <c r="A17" s="156" t="s">
        <v>649</v>
      </c>
      <c r="B17" s="113"/>
      <c r="C17" s="3"/>
      <c r="D17" s="15"/>
      <c r="E17" s="117" t="s">
        <v>31</v>
      </c>
      <c r="G17" s="20"/>
      <c r="H17" s="20"/>
      <c r="I17" s="20"/>
      <c r="J17" s="20"/>
      <c r="K17" s="157"/>
      <c r="L17" s="157"/>
    </row>
    <row r="18" spans="1:12" ht="14.25">
      <c r="A18" s="1381" t="s">
        <v>47</v>
      </c>
      <c r="B18" s="113"/>
      <c r="C18" s="3"/>
      <c r="D18" s="15"/>
      <c r="E18" s="117" t="s">
        <v>33</v>
      </c>
      <c r="G18" s="3"/>
      <c r="H18" s="3"/>
      <c r="I18" s="3"/>
      <c r="J18" s="3"/>
      <c r="K18" s="157"/>
      <c r="L18" s="157"/>
    </row>
    <row r="19" spans="1:12" ht="14.25">
      <c r="A19" s="156" t="s">
        <v>49</v>
      </c>
      <c r="B19" s="159"/>
      <c r="C19" s="3"/>
      <c r="D19" s="15"/>
      <c r="E19" s="117" t="s">
        <v>35</v>
      </c>
      <c r="G19" s="3"/>
      <c r="H19" s="3"/>
      <c r="I19" s="3"/>
      <c r="J19" s="3"/>
    </row>
    <row r="20" spans="1:12" ht="14.25">
      <c r="A20" s="156" t="s">
        <v>50</v>
      </c>
      <c r="B20" s="159"/>
      <c r="C20" s="3"/>
      <c r="D20" s="15"/>
      <c r="E20" s="117" t="s">
        <v>37</v>
      </c>
      <c r="G20" s="3"/>
      <c r="H20" s="3"/>
      <c r="I20" s="3"/>
      <c r="J20" s="3"/>
    </row>
    <row r="21" spans="1:12" ht="14.25">
      <c r="A21" s="156" t="s">
        <v>51</v>
      </c>
      <c r="B21" s="159"/>
      <c r="C21" s="3"/>
      <c r="D21" s="15"/>
      <c r="E21" s="117" t="s">
        <v>39</v>
      </c>
      <c r="G21" s="3"/>
      <c r="H21" s="3"/>
      <c r="I21" s="3"/>
      <c r="J21" s="3"/>
    </row>
    <row r="22" spans="1:12" ht="14.25">
      <c r="A22" s="156" t="s">
        <v>52</v>
      </c>
      <c r="B22" s="113"/>
      <c r="C22" s="3"/>
      <c r="D22" s="15"/>
      <c r="E22" s="117" t="s">
        <v>41</v>
      </c>
      <c r="G22" s="3"/>
      <c r="H22" s="3"/>
      <c r="I22" s="3"/>
      <c r="J22" s="3"/>
    </row>
    <row r="23" spans="1:12" ht="28.5">
      <c r="A23" s="156" t="s">
        <v>53</v>
      </c>
      <c r="B23" s="113"/>
      <c r="C23" s="3"/>
      <c r="D23" s="15"/>
      <c r="E23" s="117" t="s">
        <v>43</v>
      </c>
      <c r="G23" s="3"/>
      <c r="H23" s="3"/>
      <c r="I23" s="3"/>
      <c r="J23" s="3"/>
    </row>
    <row r="24" spans="1:12" ht="14.25">
      <c r="A24" s="160" t="s">
        <v>566</v>
      </c>
      <c r="B24" s="113"/>
      <c r="C24" s="3"/>
      <c r="D24" s="15"/>
      <c r="E24" s="117" t="s">
        <v>45</v>
      </c>
      <c r="G24" s="3"/>
      <c r="H24" s="3"/>
      <c r="I24" s="3"/>
      <c r="J24" s="3"/>
    </row>
    <row r="25" spans="1:12" ht="14.25">
      <c r="A25" s="161"/>
      <c r="B25" s="113"/>
      <c r="C25" s="3"/>
      <c r="D25" s="3"/>
      <c r="E25" s="160" t="s">
        <v>567</v>
      </c>
      <c r="G25" s="3"/>
      <c r="H25" s="3"/>
      <c r="I25" s="3"/>
      <c r="J25" s="3"/>
    </row>
    <row r="26" spans="1:12" ht="14.25">
      <c r="A26" s="161"/>
      <c r="B26" s="113"/>
      <c r="C26" s="3"/>
      <c r="D26" s="3"/>
      <c r="E26" s="136"/>
      <c r="F26" s="3"/>
    </row>
    <row r="27" spans="1:12" ht="14.25">
      <c r="A27" s="161"/>
      <c r="B27" s="113"/>
      <c r="C27" s="3"/>
      <c r="D27" s="3"/>
      <c r="E27" s="136"/>
    </row>
    <row r="28" spans="1:12" ht="14.25">
      <c r="A28" s="161"/>
      <c r="B28" s="113"/>
      <c r="C28" s="3"/>
      <c r="D28" s="3"/>
      <c r="E28" s="15"/>
    </row>
    <row r="29" spans="1:12" ht="14.25">
      <c r="A29" s="161"/>
      <c r="B29" s="113"/>
      <c r="C29" s="3"/>
      <c r="D29" s="3"/>
      <c r="E29" s="15"/>
    </row>
    <row r="30" spans="1:12" ht="14.25">
      <c r="A30" s="161"/>
      <c r="B30" s="113"/>
      <c r="C30" s="3"/>
      <c r="D30" s="3"/>
      <c r="E30" s="15"/>
    </row>
    <row r="31" spans="1:12" ht="14.25">
      <c r="A31" s="161"/>
      <c r="B31" s="113"/>
      <c r="C31" s="3"/>
      <c r="D31" s="3"/>
      <c r="E31" s="15"/>
    </row>
    <row r="32" spans="1:12" ht="14.25">
      <c r="A32" s="162"/>
      <c r="B32" s="113"/>
      <c r="C32" s="3"/>
      <c r="D32" s="3"/>
      <c r="E32" s="15"/>
    </row>
    <row r="33" spans="1:5" ht="14.25">
      <c r="A33" s="162"/>
      <c r="B33" s="113"/>
      <c r="C33" s="3"/>
      <c r="D33" s="3"/>
      <c r="E33" s="15"/>
    </row>
    <row r="34" spans="1:5" ht="14.25">
      <c r="A34" s="162"/>
      <c r="B34" s="113"/>
      <c r="C34" s="3"/>
      <c r="D34" s="3"/>
      <c r="E34" s="15"/>
    </row>
    <row r="35" spans="1:5" ht="14.25">
      <c r="A35" s="162"/>
      <c r="B35" s="113"/>
      <c r="C35" s="3"/>
      <c r="D35" s="3"/>
      <c r="E35" s="15"/>
    </row>
    <row r="36" spans="1:5" ht="14.25">
      <c r="A36" s="162"/>
      <c r="B36" s="113"/>
      <c r="C36" s="3"/>
      <c r="D36" s="3"/>
      <c r="E36" s="15"/>
    </row>
    <row r="37" spans="1:5" ht="14.25">
      <c r="A37" s="162"/>
      <c r="B37" s="113"/>
      <c r="C37" s="3"/>
      <c r="D37" s="3"/>
      <c r="E37" s="15"/>
    </row>
    <row r="38" spans="1:5" ht="14.25">
      <c r="A38" s="162"/>
      <c r="B38" s="113"/>
      <c r="C38" s="3"/>
      <c r="D38" s="3"/>
      <c r="E38" s="15"/>
    </row>
    <row r="39" spans="1:5" ht="14.25">
      <c r="A39" s="162"/>
      <c r="B39" s="113"/>
      <c r="C39" s="3"/>
      <c r="D39" s="3"/>
      <c r="E39" s="15"/>
    </row>
    <row r="40" spans="1:5" ht="14.25">
      <c r="A40" s="162"/>
      <c r="B40" s="113"/>
      <c r="C40" s="3"/>
      <c r="D40" s="3"/>
      <c r="E40" s="15"/>
    </row>
    <row r="41" spans="1:5" ht="14.25">
      <c r="A41" s="162"/>
      <c r="B41" s="113"/>
      <c r="C41" s="3"/>
      <c r="D41" s="3"/>
      <c r="E41" s="15"/>
    </row>
    <row r="42" spans="1:5" ht="14.25">
      <c r="A42" s="162"/>
      <c r="B42" s="113"/>
      <c r="C42" s="3"/>
      <c r="D42" s="3"/>
      <c r="E42" s="15"/>
    </row>
    <row r="43" spans="1:5">
      <c r="A43" s="162"/>
    </row>
  </sheetData>
  <customSheetViews>
    <customSheetView guid="{E26F941C-F347-432D-B4B3-73B25F002075}" hiddenRows="1" hiddenColumns="1" state="hidden" topLeftCell="E1">
      <selection activeCell="L29" sqref="L29"/>
      <pageMargins left="0.17" right="0.16" top="0.17" bottom="1" header="0.17" footer="0.5"/>
      <pageSetup paperSize="9" scale="65" orientation="landscape" r:id="rId1"/>
      <headerFooter alignWithMargins="0"/>
    </customSheetView>
  </customSheetViews>
  <phoneticPr fontId="29" type="noConversion"/>
  <pageMargins left="0.17" right="0.16" top="0.17" bottom="1" header="0.17" footer="0.5"/>
  <pageSetup paperSize="9" scale="65" orientation="landscape" r:id="rId2"/>
  <headerFooter alignWithMargins="0"/>
</worksheet>
</file>

<file path=xl/worksheets/sheet36.xml><?xml version="1.0" encoding="utf-8"?>
<worksheet xmlns="http://schemas.openxmlformats.org/spreadsheetml/2006/main" xmlns:r="http://schemas.openxmlformats.org/officeDocument/2006/relationships">
  <dimension ref="A1:A65"/>
  <sheetViews>
    <sheetView workbookViewId="0">
      <selection activeCell="A12" sqref="A12"/>
    </sheetView>
  </sheetViews>
  <sheetFormatPr defaultRowHeight="12.75"/>
  <cols>
    <col min="1" max="1" width="27.28515625" customWidth="1"/>
  </cols>
  <sheetData>
    <row r="1" spans="1:1">
      <c r="A1" t="s">
        <v>460</v>
      </c>
    </row>
    <row r="2" spans="1:1">
      <c r="A2" t="s">
        <v>471</v>
      </c>
    </row>
    <row r="3" spans="1:1">
      <c r="A3" t="s">
        <v>472</v>
      </c>
    </row>
    <row r="4" spans="1:1">
      <c r="A4" t="s">
        <v>473</v>
      </c>
    </row>
    <row r="5" spans="1:1">
      <c r="A5" t="s">
        <v>474</v>
      </c>
    </row>
    <row r="6" spans="1:1">
      <c r="A6" t="s">
        <v>475</v>
      </c>
    </row>
    <row r="7" spans="1:1">
      <c r="A7" t="s">
        <v>307</v>
      </c>
    </row>
    <row r="21" spans="1:1">
      <c r="A21" t="s">
        <v>460</v>
      </c>
    </row>
    <row r="22" spans="1:1">
      <c r="A22" t="s">
        <v>471</v>
      </c>
    </row>
    <row r="23" spans="1:1">
      <c r="A23" t="s">
        <v>472</v>
      </c>
    </row>
    <row r="24" spans="1:1">
      <c r="A24" t="s">
        <v>475</v>
      </c>
    </row>
    <row r="25" spans="1:1">
      <c r="A25" t="s">
        <v>307</v>
      </c>
    </row>
    <row r="28" spans="1:1">
      <c r="A28" t="s">
        <v>460</v>
      </c>
    </row>
    <row r="29" spans="1:1">
      <c r="A29" t="s">
        <v>303</v>
      </c>
    </row>
    <row r="30" spans="1:1">
      <c r="A30" t="s">
        <v>304</v>
      </c>
    </row>
    <row r="31" spans="1:1">
      <c r="A31" t="s">
        <v>308</v>
      </c>
    </row>
    <row r="32" spans="1:1">
      <c r="A32" t="s">
        <v>309</v>
      </c>
    </row>
    <row r="33" spans="1:1">
      <c r="A33" t="s">
        <v>544</v>
      </c>
    </row>
    <row r="34" spans="1:1">
      <c r="A34" t="s">
        <v>310</v>
      </c>
    </row>
    <row r="35" spans="1:1">
      <c r="A35" t="s">
        <v>311</v>
      </c>
    </row>
    <row r="39" spans="1:1">
      <c r="A39" t="s">
        <v>460</v>
      </c>
    </row>
    <row r="40" spans="1:1">
      <c r="A40" t="s">
        <v>301</v>
      </c>
    </row>
    <row r="41" spans="1:1">
      <c r="A41" t="s">
        <v>302</v>
      </c>
    </row>
    <row r="42" spans="1:1">
      <c r="A42" t="s">
        <v>474</v>
      </c>
    </row>
    <row r="43" spans="1:1">
      <c r="A43" t="s">
        <v>475</v>
      </c>
    </row>
    <row r="44" spans="1:1">
      <c r="A44" t="s">
        <v>312</v>
      </c>
    </row>
    <row r="48" spans="1:1">
      <c r="A48" t="s">
        <v>460</v>
      </c>
    </row>
    <row r="49" spans="1:1">
      <c r="A49" t="s">
        <v>55</v>
      </c>
    </row>
    <row r="50" spans="1:1">
      <c r="A50" t="s">
        <v>313</v>
      </c>
    </row>
    <row r="51" spans="1:1">
      <c r="A51" t="s">
        <v>314</v>
      </c>
    </row>
    <row r="52" spans="1:1">
      <c r="A52" t="s">
        <v>94</v>
      </c>
    </row>
    <row r="53" spans="1:1">
      <c r="A53" t="s">
        <v>95</v>
      </c>
    </row>
    <row r="54" spans="1:1">
      <c r="A54" t="s">
        <v>96</v>
      </c>
    </row>
    <row r="55" spans="1:1">
      <c r="A55" t="s">
        <v>315</v>
      </c>
    </row>
    <row r="58" spans="1:1">
      <c r="A58" t="s">
        <v>460</v>
      </c>
    </row>
    <row r="59" spans="1:1">
      <c r="A59" t="s">
        <v>477</v>
      </c>
    </row>
    <row r="60" spans="1:1">
      <c r="A60" t="s">
        <v>478</v>
      </c>
    </row>
    <row r="61" spans="1:1">
      <c r="A61" t="s">
        <v>479</v>
      </c>
    </row>
    <row r="62" spans="1:1">
      <c r="A62" t="s">
        <v>305</v>
      </c>
    </row>
    <row r="63" spans="1:1">
      <c r="A63" t="s">
        <v>480</v>
      </c>
    </row>
    <row r="64" spans="1:1">
      <c r="A64" t="s">
        <v>481</v>
      </c>
    </row>
    <row r="65" spans="1:1">
      <c r="A65" t="s">
        <v>306</v>
      </c>
    </row>
  </sheetData>
  <phoneticPr fontId="0"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enableFormatConditionsCalculation="0">
    <tabColor indexed="11"/>
    <pageSetUpPr fitToPage="1"/>
  </sheetPr>
  <dimension ref="A1:Q62"/>
  <sheetViews>
    <sheetView showGridLines="0" tabSelected="1" view="pageBreakPreview" topLeftCell="A29" zoomScale="70" zoomScaleNormal="65" zoomScaleSheetLayoutView="70" workbookViewId="0">
      <selection activeCell="E37" sqref="E37:L37"/>
    </sheetView>
  </sheetViews>
  <sheetFormatPr defaultRowHeight="12.75" outlineLevelRow="1"/>
  <cols>
    <col min="1" max="1" width="29.42578125" style="72" customWidth="1"/>
    <col min="2" max="2" width="23.140625" style="72" customWidth="1"/>
    <col min="3" max="3" width="25.7109375" style="72" customWidth="1"/>
    <col min="4" max="4" width="16.42578125" style="72" customWidth="1"/>
    <col min="5" max="5" width="15" style="72" customWidth="1"/>
    <col min="6" max="6" width="16.85546875" style="72" customWidth="1"/>
    <col min="7" max="7" width="34.140625" style="72" customWidth="1"/>
    <col min="8" max="10" width="9.140625" style="72"/>
    <col min="11" max="11" width="21.42578125" style="72" customWidth="1"/>
    <col min="12" max="16384" width="9.140625" style="72"/>
  </cols>
  <sheetData>
    <row r="1" spans="1:17" s="63" customFormat="1" ht="25.5" customHeight="1">
      <c r="A1" s="1786" t="s">
        <v>413</v>
      </c>
      <c r="B1" s="1786"/>
      <c r="C1" s="1786"/>
      <c r="D1" s="1786"/>
      <c r="E1" s="1786"/>
      <c r="F1" s="1786"/>
      <c r="G1" s="1786"/>
      <c r="H1" s="491"/>
      <c r="I1" s="35"/>
      <c r="J1" s="35"/>
      <c r="K1" s="12"/>
      <c r="L1" s="12"/>
      <c r="M1" s="14"/>
      <c r="N1" s="14"/>
    </row>
    <row r="2" spans="1:17" s="63" customFormat="1" ht="27" customHeight="1" thickBot="1">
      <c r="A2" s="98" t="s">
        <v>507</v>
      </c>
      <c r="B2" s="98"/>
      <c r="C2" s="10"/>
      <c r="D2" s="10"/>
      <c r="E2" s="36"/>
      <c r="F2" s="10"/>
      <c r="G2" s="10"/>
      <c r="H2" s="10"/>
      <c r="I2" s="10"/>
      <c r="J2" s="12"/>
      <c r="K2" s="12"/>
      <c r="L2" s="12"/>
      <c r="M2" s="14"/>
    </row>
    <row r="3" spans="1:17" s="73" customFormat="1" ht="18" customHeight="1" thickBot="1">
      <c r="A3" s="1787" t="s">
        <v>422</v>
      </c>
      <c r="B3" s="1815"/>
      <c r="C3" s="1788"/>
      <c r="D3" s="1817" t="str">
        <f>IF('PR_Programmatic Progress_1A'!C7="","",'PR_Programmatic Progress_1A'!C7)</f>
        <v>BTN-607-G03-H</v>
      </c>
      <c r="E3" s="1818"/>
      <c r="F3" s="1818"/>
      <c r="G3" s="1819"/>
      <c r="H3" s="4"/>
      <c r="I3" s="4"/>
      <c r="J3" s="4"/>
      <c r="K3" s="4"/>
      <c r="L3" s="4"/>
    </row>
    <row r="4" spans="1:17" s="73" customFormat="1" ht="15" customHeight="1">
      <c r="A4" s="492" t="s">
        <v>624</v>
      </c>
      <c r="B4" s="512"/>
      <c r="C4" s="512"/>
      <c r="D4" s="53" t="s">
        <v>630</v>
      </c>
      <c r="E4" s="504" t="str">
        <f>IF('PR_Programmatic Progress_1A'!D12="Select","",'PR_Programmatic Progress_1A'!D12)</f>
        <v>Quarter</v>
      </c>
      <c r="F4" s="5" t="s">
        <v>631</v>
      </c>
      <c r="G4" s="47">
        <f>IF('PR_Programmatic Progress_1A'!F12="Select","",'PR_Programmatic Progress_1A'!F12)</f>
        <v>16</v>
      </c>
      <c r="H4" s="4"/>
      <c r="I4" s="4"/>
      <c r="J4" s="4"/>
      <c r="K4" s="4"/>
      <c r="L4" s="4"/>
    </row>
    <row r="5" spans="1:17" s="73" customFormat="1" ht="15" customHeight="1">
      <c r="A5" s="513" t="s">
        <v>625</v>
      </c>
      <c r="B5" s="40"/>
      <c r="C5" s="40"/>
      <c r="D5" s="54" t="s">
        <v>593</v>
      </c>
      <c r="E5" s="519">
        <f>IF('PR_Programmatic Progress_1A'!D13="","",'PR_Programmatic Progress_1A'!D13)</f>
        <v>40848</v>
      </c>
      <c r="F5" s="5" t="s">
        <v>611</v>
      </c>
      <c r="G5" s="520">
        <f>IF('PR_Programmatic Progress_1A'!F13="","",'PR_Programmatic Progress_1A'!F13)</f>
        <v>40939</v>
      </c>
      <c r="H5" s="4"/>
      <c r="I5" s="4"/>
      <c r="J5" s="4"/>
      <c r="K5" s="4"/>
      <c r="L5" s="4"/>
    </row>
    <row r="6" spans="1:17" s="73" customFormat="1" ht="15" customHeight="1" thickBot="1">
      <c r="A6" s="55" t="s">
        <v>626</v>
      </c>
      <c r="B6" s="167"/>
      <c r="C6" s="41"/>
      <c r="D6" s="1830">
        <f>IF('PR_Programmatic Progress_1A'!C14="Select","",'PR_Programmatic Progress_1A'!C14)</f>
        <v>16</v>
      </c>
      <c r="E6" s="1831"/>
      <c r="F6" s="1831"/>
      <c r="G6" s="1832"/>
      <c r="H6" s="4"/>
      <c r="I6" s="4"/>
      <c r="J6" s="4"/>
      <c r="K6" s="4"/>
      <c r="L6" s="4"/>
    </row>
    <row r="7" spans="1:17">
      <c r="A7" s="534"/>
      <c r="B7" s="3"/>
      <c r="C7" s="3"/>
      <c r="D7" s="3"/>
      <c r="E7" s="3"/>
      <c r="F7" s="3"/>
      <c r="G7" s="3"/>
      <c r="H7" s="3"/>
      <c r="I7" s="3"/>
      <c r="J7" s="3"/>
      <c r="K7" s="3"/>
      <c r="L7" s="3"/>
    </row>
    <row r="8" spans="1:17" s="67" customFormat="1" ht="23.25">
      <c r="A8" s="171" t="s">
        <v>576</v>
      </c>
      <c r="B8" s="171"/>
      <c r="C8" s="171"/>
      <c r="D8" s="171"/>
      <c r="E8" s="171"/>
      <c r="F8" s="171"/>
      <c r="G8" s="171"/>
      <c r="H8" s="171"/>
      <c r="I8" s="171"/>
      <c r="J8" s="171"/>
      <c r="K8" s="171"/>
      <c r="L8" s="171"/>
      <c r="M8" s="751"/>
      <c r="N8" s="751"/>
      <c r="O8" s="751"/>
      <c r="P8" s="751"/>
      <c r="Q8" s="751"/>
    </row>
    <row r="9" spans="1:17" s="67" customFormat="1" ht="23.25">
      <c r="A9" s="171"/>
      <c r="B9" s="171"/>
      <c r="C9" s="171"/>
      <c r="D9" s="171"/>
      <c r="E9" s="171"/>
      <c r="F9" s="171"/>
      <c r="G9" s="171"/>
      <c r="H9" s="171"/>
      <c r="I9" s="171"/>
      <c r="J9" s="171"/>
      <c r="K9" s="171"/>
      <c r="L9" s="171"/>
      <c r="M9" s="751"/>
      <c r="N9" s="751"/>
      <c r="O9" s="751"/>
      <c r="P9" s="751"/>
      <c r="Q9" s="751"/>
    </row>
    <row r="10" spans="1:17" s="74" customFormat="1" ht="24.75" customHeight="1" thickBot="1">
      <c r="A10" s="888" t="s">
        <v>205</v>
      </c>
      <c r="B10" s="889"/>
      <c r="C10" s="889"/>
      <c r="D10" s="889"/>
      <c r="E10" s="889"/>
      <c r="F10" s="889"/>
      <c r="G10" s="889"/>
      <c r="H10" s="889"/>
      <c r="I10" s="889"/>
      <c r="J10" s="889"/>
      <c r="K10" s="889"/>
      <c r="L10" s="889"/>
      <c r="M10" s="91"/>
      <c r="N10" s="91"/>
      <c r="O10" s="91"/>
    </row>
    <row r="11" spans="1:17" s="74" customFormat="1" ht="4.5" customHeight="1">
      <c r="A11" s="1841"/>
      <c r="B11" s="1841"/>
      <c r="C11" s="1841"/>
      <c r="D11" s="1841"/>
      <c r="E11" s="1841"/>
      <c r="F11" s="1841"/>
      <c r="G11" s="1841"/>
      <c r="H11" s="1841"/>
      <c r="I11" s="1841"/>
      <c r="J11" s="1841"/>
      <c r="K11" s="1841"/>
      <c r="L11" s="1841"/>
    </row>
    <row r="12" spans="1:17" s="74" customFormat="1" ht="68.25" customHeight="1" thickBot="1">
      <c r="A12" s="1855" t="s">
        <v>336</v>
      </c>
      <c r="B12" s="1856"/>
      <c r="C12" s="1856"/>
      <c r="D12" s="1856"/>
      <c r="E12" s="1856"/>
      <c r="F12" s="1856"/>
      <c r="G12" s="1856"/>
      <c r="H12" s="1856"/>
      <c r="I12" s="1856"/>
      <c r="J12" s="1856"/>
      <c r="K12" s="1856"/>
      <c r="L12" s="1856"/>
    </row>
    <row r="13" spans="1:17" s="63" customFormat="1" ht="53.25" customHeight="1">
      <c r="A13" s="1851" t="s">
        <v>538</v>
      </c>
      <c r="B13" s="1852"/>
      <c r="C13" s="1852"/>
      <c r="D13" s="1853"/>
      <c r="E13" s="1854"/>
      <c r="F13" s="1069" t="s">
        <v>354</v>
      </c>
      <c r="G13" s="1842" t="s">
        <v>128</v>
      </c>
      <c r="H13" s="1843"/>
      <c r="I13" s="1843"/>
      <c r="J13" s="1843"/>
      <c r="K13" s="1843"/>
      <c r="L13" s="1844"/>
    </row>
    <row r="14" spans="1:17" ht="33.75" customHeight="1">
      <c r="A14" s="1845" t="s">
        <v>686</v>
      </c>
      <c r="B14" s="1846"/>
      <c r="C14" s="1846"/>
      <c r="D14" s="1846"/>
      <c r="E14" s="1847"/>
      <c r="F14" s="715" t="s">
        <v>365</v>
      </c>
      <c r="G14" s="1848" t="s">
        <v>687</v>
      </c>
      <c r="H14" s="1849"/>
      <c r="I14" s="1849"/>
      <c r="J14" s="1849"/>
      <c r="K14" s="1849"/>
      <c r="L14" s="1850"/>
    </row>
    <row r="15" spans="1:17" ht="48" customHeight="1">
      <c r="A15" s="1845" t="s">
        <v>688</v>
      </c>
      <c r="B15" s="1846"/>
      <c r="C15" s="1846"/>
      <c r="D15" s="1846"/>
      <c r="E15" s="1847"/>
      <c r="F15" s="715" t="s">
        <v>365</v>
      </c>
      <c r="G15" s="1848" t="s">
        <v>689</v>
      </c>
      <c r="H15" s="1849"/>
      <c r="I15" s="1849"/>
      <c r="J15" s="1849"/>
      <c r="K15" s="1849"/>
      <c r="L15" s="1850"/>
    </row>
    <row r="16" spans="1:17" ht="45.75" customHeight="1">
      <c r="A16" s="1845" t="s">
        <v>690</v>
      </c>
      <c r="B16" s="1846"/>
      <c r="C16" s="1846"/>
      <c r="D16" s="1846"/>
      <c r="E16" s="1847"/>
      <c r="F16" s="715" t="s">
        <v>365</v>
      </c>
      <c r="G16" s="1848" t="s">
        <v>710</v>
      </c>
      <c r="H16" s="1849"/>
      <c r="I16" s="1849"/>
      <c r="J16" s="1849"/>
      <c r="K16" s="1849"/>
      <c r="L16" s="1850"/>
    </row>
    <row r="17" spans="1:12" ht="63.75" customHeight="1">
      <c r="A17" s="1845" t="s">
        <v>691</v>
      </c>
      <c r="B17" s="1846"/>
      <c r="C17" s="1846"/>
      <c r="D17" s="1846"/>
      <c r="E17" s="1847"/>
      <c r="F17" s="715" t="s">
        <v>365</v>
      </c>
      <c r="G17" s="1848" t="s">
        <v>692</v>
      </c>
      <c r="H17" s="1849"/>
      <c r="I17" s="1849"/>
      <c r="J17" s="1849"/>
      <c r="K17" s="1849"/>
      <c r="L17" s="1850"/>
    </row>
    <row r="18" spans="1:12" ht="71.25" customHeight="1">
      <c r="A18" s="1845" t="s">
        <v>693</v>
      </c>
      <c r="B18" s="1846"/>
      <c r="C18" s="1846"/>
      <c r="D18" s="1846"/>
      <c r="E18" s="1847"/>
      <c r="F18" s="715" t="s">
        <v>365</v>
      </c>
      <c r="G18" s="1848" t="s">
        <v>694</v>
      </c>
      <c r="H18" s="1849"/>
      <c r="I18" s="1849"/>
      <c r="J18" s="1849"/>
      <c r="K18" s="1849"/>
      <c r="L18" s="1850"/>
    </row>
    <row r="19" spans="1:12" ht="51.75" customHeight="1">
      <c r="A19" s="1845" t="s">
        <v>695</v>
      </c>
      <c r="B19" s="1846"/>
      <c r="C19" s="1846"/>
      <c r="D19" s="1846"/>
      <c r="E19" s="1847"/>
      <c r="F19" s="715" t="s">
        <v>365</v>
      </c>
      <c r="G19" s="1848" t="s">
        <v>696</v>
      </c>
      <c r="H19" s="1849"/>
      <c r="I19" s="1849"/>
      <c r="J19" s="1849"/>
      <c r="K19" s="1849"/>
      <c r="L19" s="1850"/>
    </row>
    <row r="20" spans="1:12" ht="55.5" customHeight="1">
      <c r="A20" s="1845" t="s">
        <v>697</v>
      </c>
      <c r="B20" s="1846"/>
      <c r="C20" s="1846"/>
      <c r="D20" s="1846"/>
      <c r="E20" s="1847"/>
      <c r="F20" s="715" t="s">
        <v>365</v>
      </c>
      <c r="G20" s="1848" t="s">
        <v>698</v>
      </c>
      <c r="H20" s="1849"/>
      <c r="I20" s="1849"/>
      <c r="J20" s="1849"/>
      <c r="K20" s="1849"/>
      <c r="L20" s="1850"/>
    </row>
    <row r="21" spans="1:12" ht="56.25" customHeight="1">
      <c r="A21" s="1845" t="s">
        <v>699</v>
      </c>
      <c r="B21" s="1846"/>
      <c r="C21" s="1846"/>
      <c r="D21" s="1846"/>
      <c r="E21" s="1847"/>
      <c r="F21" s="715" t="s">
        <v>365</v>
      </c>
      <c r="G21" s="1848" t="s">
        <v>700</v>
      </c>
      <c r="H21" s="1849"/>
      <c r="I21" s="1849"/>
      <c r="J21" s="1849"/>
      <c r="K21" s="1849"/>
      <c r="L21" s="1850"/>
    </row>
    <row r="22" spans="1:12" ht="33.75" hidden="1" customHeight="1" outlineLevel="1">
      <c r="A22" s="1845" t="s">
        <v>701</v>
      </c>
      <c r="B22" s="1846"/>
      <c r="C22" s="1846"/>
      <c r="D22" s="1846"/>
      <c r="E22" s="1847"/>
      <c r="F22" s="715" t="s">
        <v>365</v>
      </c>
      <c r="G22" s="1871" t="s">
        <v>702</v>
      </c>
      <c r="H22" s="1872"/>
      <c r="I22" s="1872"/>
      <c r="J22" s="1872"/>
      <c r="K22" s="1872"/>
      <c r="L22" s="1873"/>
    </row>
    <row r="23" spans="1:12" ht="33.75" hidden="1" customHeight="1" outlineLevel="1">
      <c r="A23" s="1845" t="s">
        <v>703</v>
      </c>
      <c r="B23" s="1846"/>
      <c r="C23" s="1846"/>
      <c r="D23" s="1846"/>
      <c r="E23" s="1847"/>
      <c r="F23" s="715" t="s">
        <v>365</v>
      </c>
      <c r="G23" s="1848" t="s">
        <v>704</v>
      </c>
      <c r="H23" s="1849"/>
      <c r="I23" s="1849"/>
      <c r="J23" s="1849"/>
      <c r="K23" s="1849"/>
      <c r="L23" s="1850"/>
    </row>
    <row r="24" spans="1:12" ht="33.75" hidden="1" customHeight="1" outlineLevel="1">
      <c r="A24" s="1845" t="s">
        <v>705</v>
      </c>
      <c r="B24" s="1846"/>
      <c r="C24" s="1846"/>
      <c r="D24" s="1846"/>
      <c r="E24" s="1847"/>
      <c r="F24" s="715" t="s">
        <v>365</v>
      </c>
      <c r="G24" s="1848" t="s">
        <v>706</v>
      </c>
      <c r="H24" s="1849"/>
      <c r="I24" s="1849"/>
      <c r="J24" s="1849"/>
      <c r="K24" s="1849"/>
      <c r="L24" s="1850"/>
    </row>
    <row r="25" spans="1:12" s="1139" customFormat="1" ht="65.25" customHeight="1" collapsed="1">
      <c r="A25" s="1845" t="s">
        <v>707</v>
      </c>
      <c r="B25" s="1846"/>
      <c r="C25" s="1846"/>
      <c r="D25" s="1846"/>
      <c r="E25" s="1847"/>
      <c r="F25" s="715" t="s">
        <v>708</v>
      </c>
      <c r="G25" s="1848" t="s">
        <v>709</v>
      </c>
      <c r="H25" s="1849"/>
      <c r="I25" s="1849"/>
      <c r="J25" s="1849"/>
      <c r="K25" s="1849"/>
      <c r="L25" s="1850"/>
    </row>
    <row r="26" spans="1:12" ht="33.75" hidden="1" customHeight="1" outlineLevel="1">
      <c r="A26" s="1860"/>
      <c r="B26" s="1861"/>
      <c r="C26" s="1861"/>
      <c r="D26" s="1862"/>
      <c r="E26" s="1863"/>
      <c r="F26" s="715" t="s">
        <v>610</v>
      </c>
      <c r="G26" s="1857"/>
      <c r="H26" s="1858"/>
      <c r="I26" s="1858"/>
      <c r="J26" s="1858"/>
      <c r="K26" s="1858"/>
      <c r="L26" s="1859"/>
    </row>
    <row r="27" spans="1:12" ht="33.75" hidden="1" customHeight="1" outlineLevel="1">
      <c r="A27" s="1860"/>
      <c r="B27" s="1861"/>
      <c r="C27" s="1861"/>
      <c r="D27" s="1862"/>
      <c r="E27" s="1863"/>
      <c r="F27" s="715" t="s">
        <v>610</v>
      </c>
      <c r="G27" s="1857"/>
      <c r="H27" s="1858"/>
      <c r="I27" s="1858"/>
      <c r="J27" s="1858"/>
      <c r="K27" s="1858"/>
      <c r="L27" s="1859"/>
    </row>
    <row r="28" spans="1:12" ht="33.75" hidden="1" customHeight="1" outlineLevel="1" thickBot="1">
      <c r="A28" s="1864"/>
      <c r="B28" s="1865"/>
      <c r="C28" s="1865"/>
      <c r="D28" s="1866"/>
      <c r="E28" s="1867"/>
      <c r="F28" s="716" t="s">
        <v>610</v>
      </c>
      <c r="G28" s="1868"/>
      <c r="H28" s="1869"/>
      <c r="I28" s="1869"/>
      <c r="J28" s="1869"/>
      <c r="K28" s="1869"/>
      <c r="L28" s="1870"/>
    </row>
    <row r="29" spans="1:12" s="359" customFormat="1" ht="25.5" customHeight="1" collapsed="1">
      <c r="A29" s="178"/>
      <c r="B29" s="178"/>
      <c r="C29" s="178"/>
      <c r="D29" s="178"/>
      <c r="E29" s="178"/>
      <c r="F29" s="178"/>
      <c r="G29" s="178"/>
      <c r="H29" s="178"/>
      <c r="I29" s="178"/>
      <c r="J29" s="178"/>
      <c r="K29" s="178"/>
      <c r="L29" s="178"/>
    </row>
    <row r="30" spans="1:12" ht="25.5" customHeight="1">
      <c r="A30" s="1904" t="s">
        <v>206</v>
      </c>
      <c r="B30" s="1905"/>
      <c r="C30" s="1905"/>
      <c r="D30" s="1905"/>
      <c r="E30" s="1905"/>
      <c r="F30" s="1905"/>
      <c r="G30" s="1905"/>
      <c r="H30" s="1905"/>
      <c r="I30" s="1905"/>
      <c r="J30" s="1905"/>
      <c r="K30" s="1905"/>
      <c r="L30" s="1905"/>
    </row>
    <row r="31" spans="1:12" ht="37.5" customHeight="1">
      <c r="A31" s="1903" t="s">
        <v>5</v>
      </c>
      <c r="B31" s="1856"/>
      <c r="C31" s="1856"/>
      <c r="D31" s="1856"/>
      <c r="E31" s="1856"/>
      <c r="F31" s="1856"/>
      <c r="G31" s="1856"/>
      <c r="H31" s="1856"/>
      <c r="I31" s="1856"/>
      <c r="J31" s="1856"/>
      <c r="K31" s="1856"/>
      <c r="L31" s="1856"/>
    </row>
    <row r="32" spans="1:12" ht="5.25" customHeight="1" thickBot="1">
      <c r="A32" s="1397"/>
      <c r="B32" s="1398"/>
      <c r="C32" s="1398"/>
      <c r="D32" s="1398"/>
      <c r="E32" s="1398"/>
      <c r="F32" s="1398"/>
      <c r="G32" s="1398"/>
      <c r="H32" s="1398"/>
      <c r="I32" s="1398"/>
      <c r="J32" s="1398"/>
      <c r="K32" s="1398"/>
      <c r="L32" s="1398"/>
    </row>
    <row r="33" spans="1:12" ht="40.5" customHeight="1">
      <c r="A33" s="1906" t="s">
        <v>127</v>
      </c>
      <c r="B33" s="1882"/>
      <c r="C33" s="1882"/>
      <c r="D33" s="1907"/>
      <c r="E33" s="1881" t="s">
        <v>128</v>
      </c>
      <c r="F33" s="1882"/>
      <c r="G33" s="1882"/>
      <c r="H33" s="1882"/>
      <c r="I33" s="1882"/>
      <c r="J33" s="1882"/>
      <c r="K33" s="1882"/>
      <c r="L33" s="1883"/>
    </row>
    <row r="34" spans="1:12" ht="90.75" customHeight="1">
      <c r="A34" s="1860" t="s">
        <v>730</v>
      </c>
      <c r="B34" s="1858"/>
      <c r="C34" s="1858"/>
      <c r="D34" s="1886"/>
      <c r="E34" s="1857" t="s">
        <v>739</v>
      </c>
      <c r="F34" s="1884"/>
      <c r="G34" s="1884"/>
      <c r="H34" s="1884"/>
      <c r="I34" s="1884"/>
      <c r="J34" s="1884"/>
      <c r="K34" s="1884"/>
      <c r="L34" s="1885"/>
    </row>
    <row r="35" spans="1:12" ht="105" customHeight="1">
      <c r="A35" s="1860" t="s">
        <v>731</v>
      </c>
      <c r="B35" s="1858"/>
      <c r="C35" s="1858"/>
      <c r="D35" s="1886"/>
      <c r="E35" s="1857" t="s">
        <v>740</v>
      </c>
      <c r="F35" s="1884"/>
      <c r="G35" s="1884"/>
      <c r="H35" s="1884"/>
      <c r="I35" s="1884"/>
      <c r="J35" s="1884"/>
      <c r="K35" s="1884"/>
      <c r="L35" s="1885"/>
    </row>
    <row r="36" spans="1:12" ht="143.25" customHeight="1">
      <c r="A36" s="1860" t="s">
        <v>732</v>
      </c>
      <c r="B36" s="1858"/>
      <c r="C36" s="1858"/>
      <c r="D36" s="1886"/>
      <c r="E36" s="1857" t="s">
        <v>744</v>
      </c>
      <c r="F36" s="1884"/>
      <c r="G36" s="1884"/>
      <c r="H36" s="1884"/>
      <c r="I36" s="1884"/>
      <c r="J36" s="1884"/>
      <c r="K36" s="1884"/>
      <c r="L36" s="1885"/>
    </row>
    <row r="37" spans="1:12" ht="111" customHeight="1">
      <c r="A37" s="1860" t="s">
        <v>738</v>
      </c>
      <c r="B37" s="1858"/>
      <c r="C37" s="1858"/>
      <c r="D37" s="1886"/>
      <c r="E37" s="1857" t="s">
        <v>741</v>
      </c>
      <c r="F37" s="1884"/>
      <c r="G37" s="1884" t="s">
        <v>729</v>
      </c>
      <c r="H37" s="1884"/>
      <c r="I37" s="1884" t="s">
        <v>729</v>
      </c>
      <c r="J37" s="1884"/>
      <c r="K37" s="1884" t="s">
        <v>729</v>
      </c>
      <c r="L37" s="1885"/>
    </row>
    <row r="38" spans="1:12" ht="63.75" customHeight="1">
      <c r="A38" s="1860" t="s">
        <v>733</v>
      </c>
      <c r="B38" s="1858"/>
      <c r="C38" s="1858"/>
      <c r="D38" s="1886"/>
      <c r="E38" s="1857" t="s">
        <v>748</v>
      </c>
      <c r="F38" s="1858"/>
      <c r="G38" s="1858"/>
      <c r="H38" s="1858"/>
      <c r="I38" s="1858"/>
      <c r="J38" s="1858"/>
      <c r="K38" s="1858"/>
      <c r="L38" s="1859"/>
    </row>
    <row r="39" spans="1:12" ht="102" customHeight="1">
      <c r="A39" s="1860" t="s">
        <v>734</v>
      </c>
      <c r="B39" s="1858"/>
      <c r="C39" s="1858"/>
      <c r="D39" s="1886"/>
      <c r="E39" s="1857" t="s">
        <v>742</v>
      </c>
      <c r="F39" s="1858"/>
      <c r="G39" s="1858"/>
      <c r="H39" s="1858"/>
      <c r="I39" s="1858"/>
      <c r="J39" s="1858"/>
      <c r="K39" s="1858"/>
      <c r="L39" s="1859"/>
    </row>
    <row r="40" spans="1:12" ht="90" customHeight="1">
      <c r="A40" s="1860" t="s">
        <v>735</v>
      </c>
      <c r="B40" s="1858"/>
      <c r="C40" s="1858"/>
      <c r="D40" s="1886"/>
      <c r="E40" s="1857" t="s">
        <v>745</v>
      </c>
      <c r="F40" s="1858"/>
      <c r="G40" s="1858"/>
      <c r="H40" s="1858"/>
      <c r="I40" s="1858"/>
      <c r="J40" s="1858"/>
      <c r="K40" s="1858"/>
      <c r="L40" s="1859"/>
    </row>
    <row r="41" spans="1:12" ht="106.5" customHeight="1">
      <c r="A41" s="1860" t="s">
        <v>736</v>
      </c>
      <c r="B41" s="1858"/>
      <c r="C41" s="1858"/>
      <c r="D41" s="1886"/>
      <c r="E41" s="1857" t="s">
        <v>747</v>
      </c>
      <c r="F41" s="1858"/>
      <c r="G41" s="1858"/>
      <c r="H41" s="1858"/>
      <c r="I41" s="1858"/>
      <c r="J41" s="1858"/>
      <c r="K41" s="1858"/>
      <c r="L41" s="1859"/>
    </row>
    <row r="42" spans="1:12" ht="35.25" hidden="1" customHeight="1" outlineLevel="1">
      <c r="A42" s="1887"/>
      <c r="B42" s="1858"/>
      <c r="C42" s="1858"/>
      <c r="D42" s="1886"/>
      <c r="E42" s="1888"/>
      <c r="F42" s="1889"/>
      <c r="G42" s="1889"/>
      <c r="H42" s="1889"/>
      <c r="I42" s="1889"/>
      <c r="J42" s="1889"/>
      <c r="K42" s="1889"/>
      <c r="L42" s="1890"/>
    </row>
    <row r="43" spans="1:12" ht="35.25" hidden="1" customHeight="1" outlineLevel="1">
      <c r="A43" s="1887"/>
      <c r="B43" s="1858"/>
      <c r="C43" s="1858"/>
      <c r="D43" s="1886"/>
      <c r="E43" s="1888"/>
      <c r="F43" s="1889"/>
      <c r="G43" s="1889"/>
      <c r="H43" s="1889"/>
      <c r="I43" s="1889"/>
      <c r="J43" s="1889"/>
      <c r="K43" s="1889"/>
      <c r="L43" s="1890"/>
    </row>
    <row r="44" spans="1:12" ht="66" customHeight="1" outlineLevel="1">
      <c r="A44" s="1860" t="s">
        <v>737</v>
      </c>
      <c r="B44" s="1858"/>
      <c r="C44" s="1858"/>
      <c r="D44" s="1886"/>
      <c r="E44" s="1857" t="s">
        <v>746</v>
      </c>
      <c r="F44" s="1858"/>
      <c r="G44" s="1858"/>
      <c r="H44" s="1858"/>
      <c r="I44" s="1858"/>
      <c r="J44" s="1858"/>
      <c r="K44" s="1858"/>
      <c r="L44" s="1859"/>
    </row>
    <row r="45" spans="1:12" s="1139" customFormat="1" ht="12.75" customHeight="1">
      <c r="A45" s="1133"/>
      <c r="B45" s="1134"/>
      <c r="C45" s="1134"/>
      <c r="D45" s="1135"/>
      <c r="E45" s="1136"/>
      <c r="F45" s="1137"/>
      <c r="G45" s="1137"/>
      <c r="H45" s="1137"/>
      <c r="I45" s="1137"/>
      <c r="J45" s="1137"/>
      <c r="K45" s="1137"/>
      <c r="L45" s="1138"/>
    </row>
    <row r="46" spans="1:12" ht="35.25" hidden="1" customHeight="1" outlineLevel="1">
      <c r="A46" s="1887"/>
      <c r="B46" s="1858"/>
      <c r="C46" s="1858"/>
      <c r="D46" s="1886"/>
      <c r="E46" s="1888"/>
      <c r="F46" s="1889"/>
      <c r="G46" s="1889"/>
      <c r="H46" s="1889"/>
      <c r="I46" s="1889"/>
      <c r="J46" s="1889"/>
      <c r="K46" s="1889"/>
      <c r="L46" s="1890"/>
    </row>
    <row r="47" spans="1:12" ht="35.25" hidden="1" customHeight="1" outlineLevel="1">
      <c r="A47" s="1887"/>
      <c r="B47" s="1858"/>
      <c r="C47" s="1858"/>
      <c r="D47" s="1886"/>
      <c r="E47" s="1888"/>
      <c r="F47" s="1889"/>
      <c r="G47" s="1889"/>
      <c r="H47" s="1889"/>
      <c r="I47" s="1889"/>
      <c r="J47" s="1889"/>
      <c r="K47" s="1889"/>
      <c r="L47" s="1890"/>
    </row>
    <row r="48" spans="1:12" ht="35.25" hidden="1" customHeight="1" outlineLevel="1">
      <c r="A48" s="1887"/>
      <c r="B48" s="1858"/>
      <c r="C48" s="1858"/>
      <c r="D48" s="1886"/>
      <c r="E48" s="1888"/>
      <c r="F48" s="1889"/>
      <c r="G48" s="1889"/>
      <c r="H48" s="1889"/>
      <c r="I48" s="1889"/>
      <c r="J48" s="1889"/>
      <c r="K48" s="1889"/>
      <c r="L48" s="1890"/>
    </row>
    <row r="49" spans="1:12" ht="14.25" collapsed="1">
      <c r="A49" s="536"/>
      <c r="B49" s="536"/>
      <c r="C49" s="536"/>
      <c r="D49" s="536"/>
      <c r="E49" s="536"/>
      <c r="F49" s="537"/>
      <c r="G49" s="537"/>
      <c r="H49" s="537"/>
      <c r="I49" s="537"/>
      <c r="J49" s="536"/>
      <c r="K49" s="536"/>
      <c r="L49" s="536"/>
    </row>
    <row r="50" spans="1:12">
      <c r="J50" s="538"/>
    </row>
    <row r="51" spans="1:12" s="91" customFormat="1" ht="25.5" customHeight="1">
      <c r="A51" s="1896" t="s">
        <v>207</v>
      </c>
      <c r="B51" s="1897"/>
      <c r="C51" s="1897"/>
      <c r="D51" s="1897"/>
      <c r="E51" s="1897"/>
      <c r="F51" s="1897"/>
      <c r="G51" s="1897"/>
      <c r="H51" s="1897"/>
      <c r="I51" s="1897"/>
      <c r="J51" s="1897"/>
      <c r="K51" s="1897"/>
      <c r="L51" s="1897"/>
    </row>
    <row r="52" spans="1:12" s="752" customFormat="1" ht="42" customHeight="1" thickBot="1">
      <c r="A52" s="1879" t="s">
        <v>539</v>
      </c>
      <c r="B52" s="1880"/>
      <c r="C52" s="1880"/>
      <c r="D52" s="1880"/>
      <c r="E52" s="1880"/>
      <c r="F52" s="1880"/>
      <c r="G52" s="1880"/>
      <c r="H52" s="1880"/>
      <c r="I52" s="1880"/>
      <c r="J52" s="1880"/>
      <c r="K52" s="1880"/>
      <c r="L52" s="1880"/>
    </row>
    <row r="53" spans="1:12" s="91" customFormat="1" ht="33.75" customHeight="1">
      <c r="A53" s="1877" t="s">
        <v>571</v>
      </c>
      <c r="B53" s="1878"/>
      <c r="C53" s="1878"/>
      <c r="D53" s="1878"/>
      <c r="E53" s="500" t="s">
        <v>391</v>
      </c>
      <c r="F53" s="500" t="s">
        <v>354</v>
      </c>
      <c r="G53" s="1874" t="s">
        <v>572</v>
      </c>
      <c r="H53" s="1875"/>
      <c r="I53" s="1875"/>
      <c r="J53" s="1875"/>
      <c r="K53" s="1875"/>
      <c r="L53" s="1876"/>
    </row>
    <row r="54" spans="1:12" s="91" customFormat="1" ht="59.25" customHeight="1">
      <c r="A54" s="1898" t="s">
        <v>126</v>
      </c>
      <c r="B54" s="1899"/>
      <c r="C54" s="1899"/>
      <c r="D54" s="1899"/>
      <c r="E54" s="539">
        <v>40908</v>
      </c>
      <c r="F54" s="715" t="s">
        <v>711</v>
      </c>
      <c r="G54" s="1900" t="s">
        <v>1182</v>
      </c>
      <c r="H54" s="1901"/>
      <c r="I54" s="1901"/>
      <c r="J54" s="1901"/>
      <c r="K54" s="1901"/>
      <c r="L54" s="1902"/>
    </row>
    <row r="55" spans="1:12" s="91" customFormat="1" ht="48" customHeight="1" thickBot="1">
      <c r="A55" s="1894" t="s">
        <v>570</v>
      </c>
      <c r="B55" s="1895"/>
      <c r="C55" s="1895"/>
      <c r="D55" s="1895"/>
      <c r="E55" s="540">
        <v>40939</v>
      </c>
      <c r="F55" s="716" t="s">
        <v>1181</v>
      </c>
      <c r="G55" s="1891" t="s">
        <v>1183</v>
      </c>
      <c r="H55" s="1892"/>
      <c r="I55" s="1892"/>
      <c r="J55" s="1892"/>
      <c r="K55" s="1892"/>
      <c r="L55" s="1893"/>
    </row>
    <row r="56" spans="1:12">
      <c r="A56" s="3"/>
      <c r="B56" s="3"/>
      <c r="C56" s="3"/>
      <c r="D56" s="3"/>
      <c r="E56" s="3"/>
      <c r="F56" s="3"/>
      <c r="G56" s="31"/>
      <c r="H56" s="3"/>
      <c r="I56" s="3"/>
      <c r="J56" s="16"/>
      <c r="K56" s="3"/>
    </row>
    <row r="57" spans="1:12">
      <c r="A57" s="3"/>
      <c r="B57" s="3"/>
      <c r="C57" s="3"/>
      <c r="D57" s="3"/>
      <c r="E57" s="3"/>
      <c r="F57" s="3"/>
      <c r="G57" s="31"/>
      <c r="H57" s="3"/>
      <c r="I57" s="3"/>
      <c r="J57" s="16"/>
      <c r="K57" s="3"/>
      <c r="L57" s="3"/>
    </row>
    <row r="58" spans="1:12">
      <c r="A58" s="3"/>
      <c r="B58" s="3"/>
      <c r="C58" s="3"/>
      <c r="D58" s="3"/>
      <c r="E58" s="3"/>
      <c r="F58" s="3"/>
      <c r="G58" s="31"/>
      <c r="H58" s="3"/>
      <c r="I58" s="3"/>
      <c r="J58" s="16"/>
      <c r="K58" s="3"/>
      <c r="L58" s="3"/>
    </row>
    <row r="59" spans="1:12">
      <c r="J59" s="538"/>
    </row>
    <row r="60" spans="1:12">
      <c r="J60" s="538"/>
    </row>
    <row r="61" spans="1:12">
      <c r="J61" s="538"/>
    </row>
    <row r="62" spans="1:12">
      <c r="J62" s="538"/>
    </row>
  </sheetData>
  <sheetProtection formatCells="0" formatColumns="0" formatRows="0" insertRows="0"/>
  <customSheetViews>
    <customSheetView guid="{E26F941C-F347-432D-B4B3-73B25F002075}" scale="55" showPageBreaks="1" showGridLines="0" fitToPage="1" topLeftCell="A7">
      <selection activeCell="A15" sqref="A15:L18"/>
      <pageMargins left="0.56999999999999995" right="0.45" top="0.59" bottom="0.64" header="0.51181102362204722" footer="0.51181102362204722"/>
      <printOptions horizontalCentered="1"/>
      <pageSetup paperSize="9" scale="41" orientation="landscape" cellComments="asDisplayed" r:id="rId1"/>
      <headerFooter alignWithMargins="0">
        <oddFooter>&amp;L&amp;9SD 3.1A - Form, Ongoing DR/PU and LFA Review and Recommendation_v2.1 February 2006&amp;R&amp;9Page &amp;P of &amp;N</oddFooter>
      </headerFooter>
    </customSheetView>
  </customSheetViews>
  <mergeCells count="78">
    <mergeCell ref="A31:L31"/>
    <mergeCell ref="A30:L30"/>
    <mergeCell ref="A33:D33"/>
    <mergeCell ref="E46:L46"/>
    <mergeCell ref="A42:D42"/>
    <mergeCell ref="E37:L37"/>
    <mergeCell ref="E38:L38"/>
    <mergeCell ref="E39:L39"/>
    <mergeCell ref="E42:L42"/>
    <mergeCell ref="A43:D43"/>
    <mergeCell ref="E43:L43"/>
    <mergeCell ref="A44:D44"/>
    <mergeCell ref="A37:D37"/>
    <mergeCell ref="A38:D38"/>
    <mergeCell ref="E40:L40"/>
    <mergeCell ref="A41:D41"/>
    <mergeCell ref="E41:L41"/>
    <mergeCell ref="A39:D39"/>
    <mergeCell ref="A40:D40"/>
    <mergeCell ref="E48:L48"/>
    <mergeCell ref="A46:D46"/>
    <mergeCell ref="A48:D48"/>
    <mergeCell ref="G55:L55"/>
    <mergeCell ref="A55:D55"/>
    <mergeCell ref="A51:L51"/>
    <mergeCell ref="A54:D54"/>
    <mergeCell ref="G54:L54"/>
    <mergeCell ref="A26:E26"/>
    <mergeCell ref="G25:L25"/>
    <mergeCell ref="A24:E24"/>
    <mergeCell ref="G53:L53"/>
    <mergeCell ref="A53:D53"/>
    <mergeCell ref="A52:L52"/>
    <mergeCell ref="E33:L33"/>
    <mergeCell ref="E36:L36"/>
    <mergeCell ref="A36:D36"/>
    <mergeCell ref="A35:D35"/>
    <mergeCell ref="E35:L35"/>
    <mergeCell ref="E34:L34"/>
    <mergeCell ref="A34:D34"/>
    <mergeCell ref="E44:L44"/>
    <mergeCell ref="A47:D47"/>
    <mergeCell ref="E47:L47"/>
    <mergeCell ref="G26:L26"/>
    <mergeCell ref="A27:E27"/>
    <mergeCell ref="A28:E28"/>
    <mergeCell ref="A20:E20"/>
    <mergeCell ref="A18:E18"/>
    <mergeCell ref="A21:E21"/>
    <mergeCell ref="G27:L27"/>
    <mergeCell ref="G24:L24"/>
    <mergeCell ref="A25:E25"/>
    <mergeCell ref="G20:L20"/>
    <mergeCell ref="G28:L28"/>
    <mergeCell ref="G21:L21"/>
    <mergeCell ref="G22:L22"/>
    <mergeCell ref="G23:L23"/>
    <mergeCell ref="A22:E22"/>
    <mergeCell ref="A23:E23"/>
    <mergeCell ref="A17:E17"/>
    <mergeCell ref="A19:E19"/>
    <mergeCell ref="G19:L19"/>
    <mergeCell ref="G14:L14"/>
    <mergeCell ref="G15:L15"/>
    <mergeCell ref="A14:E14"/>
    <mergeCell ref="G18:L18"/>
    <mergeCell ref="A16:E16"/>
    <mergeCell ref="G17:L17"/>
    <mergeCell ref="A11:L11"/>
    <mergeCell ref="G13:L13"/>
    <mergeCell ref="A15:E15"/>
    <mergeCell ref="G16:L16"/>
    <mergeCell ref="A1:G1"/>
    <mergeCell ref="A3:C3"/>
    <mergeCell ref="D3:G3"/>
    <mergeCell ref="D6:G6"/>
    <mergeCell ref="A13:E13"/>
    <mergeCell ref="A12:L12"/>
  </mergeCells>
  <phoneticPr fontId="0" type="noConversion"/>
  <conditionalFormatting sqref="C51:E51">
    <cfRule type="cellIs" dxfId="133" priority="12" stopIfTrue="1" operator="notEqual">
      <formula>B51</formula>
    </cfRule>
    <cfRule type="cellIs" dxfId="132" priority="13" stopIfTrue="1" operator="notEqual">
      <formula>A51</formula>
    </cfRule>
  </conditionalFormatting>
  <conditionalFormatting sqref="B51 B54:B55">
    <cfRule type="cellIs" dxfId="131" priority="10" stopIfTrue="1" operator="notEqual">
      <formula>A51</formula>
    </cfRule>
    <cfRule type="cellIs" dxfId="130" priority="11" stopIfTrue="1" operator="notEqual">
      <formula>#REF!</formula>
    </cfRule>
  </conditionalFormatting>
  <conditionalFormatting sqref="A51 A53:A55 A29">
    <cfRule type="cellIs" dxfId="129" priority="8" stopIfTrue="1" operator="notEqual">
      <formula>#REF!</formula>
    </cfRule>
    <cfRule type="cellIs" dxfId="128" priority="9" stopIfTrue="1" operator="notEqual">
      <formula>#REF!</formula>
    </cfRule>
  </conditionalFormatting>
  <conditionalFormatting sqref="A49 D49:I49">
    <cfRule type="cellIs" dxfId="127" priority="7" stopIfTrue="1" operator="notEqual">
      <formula>#REF!</formula>
    </cfRule>
  </conditionalFormatting>
  <conditionalFormatting sqref="A28:C28">
    <cfRule type="cellIs" dxfId="126" priority="35" stopIfTrue="1" operator="notEqual">
      <formula>#REF!</formula>
    </cfRule>
  </conditionalFormatting>
  <conditionalFormatting sqref="A26:C27">
    <cfRule type="cellIs" dxfId="125" priority="3" stopIfTrue="1" operator="notEqual">
      <formula>#REF!</formula>
    </cfRule>
  </conditionalFormatting>
  <conditionalFormatting sqref="A14:E25">
    <cfRule type="cellIs" dxfId="124" priority="45" stopIfTrue="1" operator="notEqual">
      <formula>#REF!</formula>
    </cfRule>
  </conditionalFormatting>
  <conditionalFormatting sqref="A14:E25">
    <cfRule type="cellIs" dxfId="123" priority="46" stopIfTrue="1" operator="notEqual">
      <formula>#REF!</formula>
    </cfRule>
  </conditionalFormatting>
  <dataValidations count="5">
    <dataValidation type="date" allowBlank="1" showInputMessage="1" showErrorMessage="1" sqref="E54:E55">
      <formula1>39814</formula1>
      <formula2>43831</formula2>
    </dataValidation>
    <dataValidation type="list" allowBlank="1" showInputMessage="1" showErrorMessage="1" sqref="D2:H2">
      <formula1>"Select,USD,EUR"</formula1>
    </dataValidation>
    <dataValidation type="list" allowBlank="1" showInputMessage="1" showErrorMessage="1" sqref="F54:F55">
      <formula1>"Select,Submitted to GF, Preparation on track, Overdue"</formula1>
    </dataValidation>
    <dataValidation type="list" allowBlank="1" showInputMessage="1" showErrorMessage="1" sqref="F26:F28">
      <formula1>"Select,Met,Unmet - In Progress,Unmet - Not started"</formula1>
    </dataValidation>
    <dataValidation type="list" allowBlank="1" showInputMessage="1" showErrorMessage="1" sqref="F23:F25 F14:F20">
      <formula1>"Select,Yes,No,Partially,In Progress,N/A"</formula1>
    </dataValidation>
  </dataValidations>
  <printOptions horizontalCentered="1"/>
  <pageMargins left="0.55118110236220474" right="0.55118110236220474" top="0.39370078740157483" bottom="0.59055118110236227" header="0.51181102362204722" footer="0.51181102362204722"/>
  <pageSetup paperSize="9" scale="63" fitToHeight="0" orientation="landscape" cellComments="asDisplayed" r:id="rId2"/>
  <headerFooter alignWithMargins="0">
    <oddFooter>&amp;L&amp;9&amp;F&amp;C&amp;A&amp;R&amp;9Page &amp;P of &amp;N</oddFooter>
  </headerFooter>
  <rowBreaks count="1" manualBreakCount="1">
    <brk id="29" max="11" man="1"/>
  </row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N21"/>
  <sheetViews>
    <sheetView showGridLines="0" view="pageBreakPreview" topLeftCell="A19" zoomScale="70" zoomScaleNormal="55" zoomScaleSheetLayoutView="70" workbookViewId="0">
      <selection activeCell="F18" sqref="F18:G18"/>
    </sheetView>
  </sheetViews>
  <sheetFormatPr defaultRowHeight="12.75"/>
  <cols>
    <col min="1" max="1" width="15" style="72" customWidth="1"/>
    <col min="2" max="2" width="45.42578125" style="72" customWidth="1"/>
    <col min="3" max="3" width="19.28515625" style="72" customWidth="1"/>
    <col min="4" max="4" width="22.140625" style="72" customWidth="1"/>
    <col min="5" max="5" width="19.28515625" style="72" customWidth="1"/>
    <col min="6" max="6" width="26.42578125" style="72" customWidth="1"/>
    <col min="7" max="7" width="22" style="72" customWidth="1"/>
    <col min="8" max="8" width="20.5703125" style="538" customWidth="1"/>
    <col min="9" max="9" width="20.5703125" style="72" customWidth="1"/>
    <col min="10" max="10" width="19.28515625" style="72" customWidth="1"/>
    <col min="11" max="11" width="44.5703125" style="72" customWidth="1"/>
    <col min="12" max="16384" width="9.140625" style="72"/>
  </cols>
  <sheetData>
    <row r="1" spans="1:14" ht="25.5" customHeight="1">
      <c r="A1" s="1908" t="s">
        <v>413</v>
      </c>
      <c r="B1" s="1908"/>
      <c r="C1" s="1908"/>
      <c r="D1" s="1908"/>
      <c r="E1" s="1908"/>
      <c r="F1" s="1908"/>
      <c r="G1" s="1908"/>
      <c r="H1" s="1"/>
      <c r="I1" s="2"/>
      <c r="J1" s="3"/>
      <c r="K1" s="3"/>
      <c r="L1" s="3"/>
    </row>
    <row r="2" spans="1:14" s="63" customFormat="1" ht="27" customHeight="1" thickBot="1">
      <c r="A2" s="98" t="s">
        <v>507</v>
      </c>
      <c r="B2" s="10"/>
      <c r="C2" s="10"/>
      <c r="D2" s="36"/>
      <c r="E2" s="10"/>
      <c r="F2" s="10"/>
      <c r="G2" s="3"/>
      <c r="H2" s="11"/>
      <c r="I2" s="10"/>
      <c r="J2" s="12"/>
      <c r="K2" s="12"/>
      <c r="L2" s="13"/>
    </row>
    <row r="3" spans="1:14" s="73" customFormat="1" ht="28.5" customHeight="1" thickBot="1">
      <c r="A3" s="1787" t="s">
        <v>422</v>
      </c>
      <c r="B3" s="1815"/>
      <c r="C3" s="1815"/>
      <c r="D3" s="1914" t="str">
        <f>IF('PR_Programmatic Progress_1A'!C7="","",'PR_Programmatic Progress_1A'!C7)</f>
        <v>BTN-607-G03-H</v>
      </c>
      <c r="E3" s="1818"/>
      <c r="F3" s="1818"/>
      <c r="G3" s="1819"/>
      <c r="H3" s="4"/>
      <c r="I3" s="4"/>
      <c r="J3" s="4"/>
      <c r="K3" s="4"/>
      <c r="L3" s="4"/>
    </row>
    <row r="4" spans="1:14" s="73" customFormat="1" ht="15" customHeight="1">
      <c r="A4" s="492" t="s">
        <v>624</v>
      </c>
      <c r="B4" s="512"/>
      <c r="C4" s="512"/>
      <c r="D4" s="1237" t="s">
        <v>630</v>
      </c>
      <c r="E4" s="504" t="str">
        <f>IF('PR_Programmatic Progress_1A'!D12="Select","",'PR_Programmatic Progress_1A'!D12)</f>
        <v>Quarter</v>
      </c>
      <c r="F4" s="5" t="s">
        <v>631</v>
      </c>
      <c r="G4" s="47">
        <f>IF('PR_Programmatic Progress_1A'!F12="Select","",'PR_Programmatic Progress_1A'!F12)</f>
        <v>16</v>
      </c>
      <c r="H4" s="4"/>
      <c r="I4" s="4"/>
      <c r="J4" s="4"/>
      <c r="K4" s="4"/>
      <c r="L4" s="4"/>
    </row>
    <row r="5" spans="1:14" s="73" customFormat="1" ht="15" customHeight="1">
      <c r="A5" s="513" t="s">
        <v>625</v>
      </c>
      <c r="B5" s="40"/>
      <c r="C5" s="40"/>
      <c r="D5" s="1238" t="s">
        <v>593</v>
      </c>
      <c r="E5" s="519">
        <f>IF('PR_Programmatic Progress_1A'!D13="","",'PR_Programmatic Progress_1A'!D13)</f>
        <v>40848</v>
      </c>
      <c r="F5" s="5" t="s">
        <v>611</v>
      </c>
      <c r="G5" s="520">
        <f>IF('PR_Programmatic Progress_1A'!F13="","",'PR_Programmatic Progress_1A'!F13)</f>
        <v>40939</v>
      </c>
      <c r="H5" s="4"/>
      <c r="I5" s="4"/>
      <c r="J5" s="4"/>
      <c r="K5" s="4"/>
      <c r="L5" s="4"/>
    </row>
    <row r="6" spans="1:14" s="73" customFormat="1" ht="15" customHeight="1">
      <c r="A6" s="1231" t="s">
        <v>626</v>
      </c>
      <c r="B6" s="1232"/>
      <c r="C6" s="1235"/>
      <c r="D6" s="1915">
        <f>IF('PR_Programmatic Progress_1A'!C14="Select","",'PR_Programmatic Progress_1A'!C14)</f>
        <v>16</v>
      </c>
      <c r="E6" s="1916"/>
      <c r="F6" s="1916"/>
      <c r="G6" s="1917"/>
      <c r="H6" s="4"/>
      <c r="I6" s="4"/>
      <c r="J6" s="4"/>
      <c r="K6" s="4"/>
      <c r="L6" s="4"/>
    </row>
    <row r="7" spans="1:14" s="73" customFormat="1" ht="15" customHeight="1" thickBot="1">
      <c r="A7" s="1233" t="s">
        <v>592</v>
      </c>
      <c r="B7" s="1234"/>
      <c r="C7" s="1236"/>
      <c r="D7" s="1918" t="str">
        <f>IF('PR_Programmatic Progress_1A'!C10="Select","",'PR_Programmatic Progress_1A'!C10)</f>
        <v>USD</v>
      </c>
      <c r="E7" s="1919"/>
      <c r="F7" s="1919"/>
      <c r="G7" s="1920"/>
      <c r="H7" s="4"/>
      <c r="I7" s="4"/>
      <c r="J7" s="4"/>
      <c r="K7" s="4"/>
      <c r="L7" s="4"/>
    </row>
    <row r="8" spans="1:14" s="63" customFormat="1" ht="15.75" customHeight="1">
      <c r="A8" s="10"/>
      <c r="B8" s="10"/>
      <c r="C8" s="10"/>
      <c r="D8" s="36"/>
      <c r="E8" s="10"/>
      <c r="F8" s="12"/>
      <c r="G8" s="11"/>
      <c r="H8" s="10"/>
      <c r="I8" s="12"/>
      <c r="J8" s="12"/>
      <c r="K8" s="13"/>
      <c r="L8" s="13"/>
    </row>
    <row r="9" spans="1:14" s="753" customFormat="1" ht="27" customHeight="1">
      <c r="A9" s="1909" t="s">
        <v>21</v>
      </c>
      <c r="B9" s="1909"/>
      <c r="C9" s="1909"/>
      <c r="D9" s="1909"/>
      <c r="E9" s="1909"/>
      <c r="F9" s="1909"/>
      <c r="G9" s="1909"/>
      <c r="H9" s="1909"/>
      <c r="I9" s="1909"/>
      <c r="J9" s="1909"/>
      <c r="K9" s="526"/>
      <c r="L9" s="541"/>
    </row>
    <row r="10" spans="1:14" s="753" customFormat="1" ht="27" customHeight="1" thickBot="1">
      <c r="A10" s="736" t="s">
        <v>482</v>
      </c>
      <c r="B10" s="735"/>
      <c r="C10" s="735"/>
      <c r="D10" s="735"/>
      <c r="E10" s="735"/>
      <c r="F10" s="735"/>
      <c r="G10" s="735"/>
      <c r="H10" s="735"/>
      <c r="I10" s="735"/>
      <c r="J10" s="735"/>
      <c r="K10" s="526"/>
      <c r="L10" s="541"/>
    </row>
    <row r="11" spans="1:14" s="63" customFormat="1" ht="75" customHeight="1">
      <c r="A11" s="1877"/>
      <c r="B11" s="1874"/>
      <c r="C11" s="500" t="s">
        <v>598</v>
      </c>
      <c r="D11" s="500" t="s">
        <v>416</v>
      </c>
      <c r="E11" s="181" t="s">
        <v>599</v>
      </c>
      <c r="F11" s="1912" t="s">
        <v>600</v>
      </c>
      <c r="G11" s="1913"/>
      <c r="H11" s="500" t="s">
        <v>404</v>
      </c>
      <c r="I11" s="500" t="s">
        <v>417</v>
      </c>
      <c r="J11" s="500" t="s">
        <v>599</v>
      </c>
      <c r="K11" s="182" t="s">
        <v>600</v>
      </c>
      <c r="L11" s="13"/>
    </row>
    <row r="12" spans="1:14" s="63" customFormat="1" ht="75" customHeight="1">
      <c r="A12" s="1910" t="s">
        <v>168</v>
      </c>
      <c r="B12" s="1911"/>
      <c r="C12" s="483">
        <f>C13+C14</f>
        <v>106874</v>
      </c>
      <c r="D12" s="483">
        <f>D13+D14</f>
        <v>128493.31</v>
      </c>
      <c r="E12" s="478">
        <f>IF(C12="",IF(D12="","",C12-D12),C12-D12)</f>
        <v>-21619.309999999998</v>
      </c>
      <c r="F12" s="1921"/>
      <c r="G12" s="1922"/>
      <c r="H12" s="483">
        <f>H13+H14</f>
        <v>2445149.0700000003</v>
      </c>
      <c r="I12" s="483">
        <f>I13+I14</f>
        <v>2147300.1100000003</v>
      </c>
      <c r="J12" s="1522">
        <f>IF(H12="",IF(I12="","",H12-I12),H12-I12)</f>
        <v>297848.95999999996</v>
      </c>
      <c r="K12" s="377"/>
      <c r="L12" s="13"/>
    </row>
    <row r="13" spans="1:14" s="63" customFormat="1" ht="118.5" customHeight="1">
      <c r="A13" s="1931" t="s">
        <v>601</v>
      </c>
      <c r="B13" s="1932"/>
      <c r="C13" s="470">
        <v>34989</v>
      </c>
      <c r="D13" s="470">
        <v>31065.63</v>
      </c>
      <c r="E13" s="478">
        <f>IF(C13="",IF(D13="",0,C13-D13),C13-D13)</f>
        <v>3923.369999999999</v>
      </c>
      <c r="F13" s="1929"/>
      <c r="G13" s="1930"/>
      <c r="H13" s="1390">
        <f>1074378+C13</f>
        <v>1109367</v>
      </c>
      <c r="I13" s="1528">
        <f>983232.13+D13</f>
        <v>1014297.76</v>
      </c>
      <c r="J13" s="1521">
        <f>IF(H13="",IF(I13="",0,H13-I13),H13-I13)</f>
        <v>95069.239999999991</v>
      </c>
      <c r="K13" s="890"/>
      <c r="L13" s="13"/>
    </row>
    <row r="14" spans="1:14" s="63" customFormat="1" ht="118.5" customHeight="1" thickBot="1">
      <c r="A14" s="1931" t="s">
        <v>602</v>
      </c>
      <c r="B14" s="1932"/>
      <c r="C14" s="470">
        <v>71885</v>
      </c>
      <c r="D14" s="470">
        <v>97427.68</v>
      </c>
      <c r="E14" s="478">
        <f>IF(C14="",IF(D14="",0,C14-D14),C14-D14)</f>
        <v>-25542.679999999993</v>
      </c>
      <c r="F14" s="1857" t="s">
        <v>1174</v>
      </c>
      <c r="G14" s="1886"/>
      <c r="H14" s="1391">
        <f>1263897.07+C14</f>
        <v>1335782.07</v>
      </c>
      <c r="I14" s="1528">
        <f>1061117.35+C14</f>
        <v>1133002.3500000001</v>
      </c>
      <c r="J14" s="1521">
        <f>IF(H14="",IF(I14="",0,H14-I14),H14-I14)</f>
        <v>202779.71999999997</v>
      </c>
      <c r="K14" s="1737"/>
      <c r="L14" s="13"/>
    </row>
    <row r="15" spans="1:14" s="755" customFormat="1" ht="18.75" customHeight="1" thickBot="1">
      <c r="A15" s="480"/>
      <c r="B15" s="480"/>
      <c r="C15" s="481"/>
      <c r="D15" s="481"/>
      <c r="E15" s="482"/>
      <c r="F15" s="542"/>
      <c r="G15" s="542"/>
      <c r="H15" s="481"/>
      <c r="I15" s="481"/>
      <c r="J15" s="482"/>
      <c r="K15" s="542"/>
      <c r="L15" s="190"/>
      <c r="M15" s="754"/>
      <c r="N15" s="754"/>
    </row>
    <row r="16" spans="1:14" s="63" customFormat="1" ht="91.5" customHeight="1">
      <c r="A16" s="1877"/>
      <c r="B16" s="1874"/>
      <c r="C16" s="500" t="s">
        <v>130</v>
      </c>
      <c r="D16" s="500" t="s">
        <v>416</v>
      </c>
      <c r="E16" s="181" t="s">
        <v>599</v>
      </c>
      <c r="F16" s="1842" t="s">
        <v>600</v>
      </c>
      <c r="G16" s="1926"/>
      <c r="H16" s="500" t="s">
        <v>404</v>
      </c>
      <c r="I16" s="500" t="s">
        <v>417</v>
      </c>
      <c r="J16" s="500" t="s">
        <v>599</v>
      </c>
      <c r="K16" s="183" t="s">
        <v>600</v>
      </c>
      <c r="L16" s="37"/>
    </row>
    <row r="17" spans="1:12" s="63" customFormat="1" ht="78.75" customHeight="1">
      <c r="A17" s="1898" t="s">
        <v>405</v>
      </c>
      <c r="B17" s="1935"/>
      <c r="C17" s="478">
        <f>C18+C19</f>
        <v>0</v>
      </c>
      <c r="D17" s="478">
        <f>D18+D19</f>
        <v>0</v>
      </c>
      <c r="E17" s="478">
        <f>IF(C17="",IF(D17="","",C17-D17),C17-D17)</f>
        <v>0</v>
      </c>
      <c r="F17" s="1927"/>
      <c r="G17" s="1928"/>
      <c r="H17" s="486">
        <f>H18+H19</f>
        <v>317474</v>
      </c>
      <c r="I17" s="486">
        <f>I18+I19</f>
        <v>152846.30000000002</v>
      </c>
      <c r="J17" s="486">
        <f>IF(H17="",IF(I17="","",H17-I17),H17-I17)</f>
        <v>164627.69999999998</v>
      </c>
      <c r="K17" s="546"/>
      <c r="L17" s="37"/>
    </row>
    <row r="18" spans="1:12" s="63" customFormat="1" ht="122.25" customHeight="1">
      <c r="A18" s="1933" t="s">
        <v>392</v>
      </c>
      <c r="B18" s="1934"/>
      <c r="C18" s="470">
        <v>0</v>
      </c>
      <c r="D18" s="470">
        <v>0</v>
      </c>
      <c r="E18" s="484">
        <f>IF(C18="",IF(D18="",0,C18-D18),C18-D18)</f>
        <v>0</v>
      </c>
      <c r="F18" s="1857"/>
      <c r="G18" s="1886"/>
      <c r="H18" s="1392">
        <f>66179</f>
        <v>66179</v>
      </c>
      <c r="I18" s="1392">
        <f>16927+15425.7</f>
        <v>32352.7</v>
      </c>
      <c r="J18" s="486">
        <f>IF(H18="",IF(I18="",0,H18-I18),H18-I18)</f>
        <v>33826.300000000003</v>
      </c>
      <c r="K18" s="891"/>
      <c r="L18" s="527"/>
    </row>
    <row r="19" spans="1:12" s="63" customFormat="1" ht="122.25" customHeight="1" thickBot="1">
      <c r="A19" s="1924" t="s">
        <v>393</v>
      </c>
      <c r="B19" s="1925"/>
      <c r="C19" s="471">
        <v>0</v>
      </c>
      <c r="D19" s="1402">
        <v>0</v>
      </c>
      <c r="E19" s="484">
        <f>IF(C19="",IF(D19="",0,C19-D19),C19-D19)</f>
        <v>0</v>
      </c>
      <c r="F19" s="1868"/>
      <c r="G19" s="1923"/>
      <c r="H19" s="1393">
        <f>251295</f>
        <v>251295</v>
      </c>
      <c r="I19" s="1393">
        <v>120493.6</v>
      </c>
      <c r="J19" s="485">
        <f>IF(H19="",IF(I19="",0,H19-I19),H19-I19)</f>
        <v>130801.4</v>
      </c>
      <c r="K19" s="892"/>
      <c r="L19" s="527"/>
    </row>
    <row r="20" spans="1:12" s="63" customFormat="1" ht="10.5" customHeight="1">
      <c r="A20" s="173"/>
      <c r="B20" s="178"/>
      <c r="C20" s="187"/>
      <c r="D20" s="187"/>
      <c r="E20" s="187"/>
      <c r="F20" s="179"/>
      <c r="G20" s="543"/>
      <c r="H20" s="187"/>
      <c r="I20" s="187"/>
      <c r="J20" s="187"/>
      <c r="K20" s="187"/>
      <c r="L20" s="527"/>
    </row>
    <row r="21" spans="1:12" ht="19.5" customHeight="1">
      <c r="A21" s="173"/>
      <c r="B21" s="544"/>
      <c r="C21" s="544"/>
      <c r="D21" s="544"/>
      <c r="E21" s="544"/>
      <c r="F21" s="544"/>
      <c r="G21" s="544"/>
      <c r="H21" s="545"/>
      <c r="I21" s="544"/>
      <c r="J21" s="544"/>
      <c r="K21" s="544"/>
      <c r="L21" s="3"/>
    </row>
  </sheetData>
  <sheetProtection password="92D1" sheet="1" formatCells="0" formatColumns="0" formatRows="0"/>
  <mergeCells count="22">
    <mergeCell ref="F19:G19"/>
    <mergeCell ref="A19:B19"/>
    <mergeCell ref="F16:G16"/>
    <mergeCell ref="F17:G17"/>
    <mergeCell ref="F13:G13"/>
    <mergeCell ref="A14:B14"/>
    <mergeCell ref="F14:G14"/>
    <mergeCell ref="F18:G18"/>
    <mergeCell ref="A16:B16"/>
    <mergeCell ref="A18:B18"/>
    <mergeCell ref="A13:B13"/>
    <mergeCell ref="A17:B17"/>
    <mergeCell ref="A1:G1"/>
    <mergeCell ref="A9:J9"/>
    <mergeCell ref="A12:B12"/>
    <mergeCell ref="A11:B11"/>
    <mergeCell ref="F11:G11"/>
    <mergeCell ref="A3:C3"/>
    <mergeCell ref="D3:G3"/>
    <mergeCell ref="D6:G6"/>
    <mergeCell ref="D7:G7"/>
    <mergeCell ref="F12:G12"/>
  </mergeCells>
  <phoneticPr fontId="37" type="noConversion"/>
  <conditionalFormatting sqref="E15:E16 J15 K17:K20 F16:F17 C13:D14 C20:J20 I13:I14 H17:I17 C17:C19 D17:D18">
    <cfRule type="cellIs" dxfId="122" priority="7" stopIfTrue="1" operator="lessThan">
      <formula>0</formula>
    </cfRule>
  </conditionalFormatting>
  <conditionalFormatting sqref="E15:E16 J15:J16 F16:F17 C20:K20 K17:K19 H17">
    <cfRule type="cellIs" dxfId="121" priority="6" stopIfTrue="1" operator="lessThan">
      <formula>0</formula>
    </cfRule>
  </conditionalFormatting>
  <dataValidations count="1">
    <dataValidation type="list" allowBlank="1" showInputMessage="1" showErrorMessage="1" sqref="C2:F2">
      <formula1>"Select,USD,EUR"</formula1>
    </dataValidation>
  </dataValidations>
  <printOptions horizontalCentered="1"/>
  <pageMargins left="0.74803149606299213" right="0.74803149606299213" top="0.39370078740157483" bottom="0.39370078740157483" header="0.51181102362204722" footer="0.51181102362204722"/>
  <pageSetup paperSize="9" scale="48" fitToHeight="0" orientation="landscape" cellComments="asDisplayed" r:id="rId1"/>
  <headerFooter alignWithMargins="0">
    <oddFooter>&amp;L&amp;9&amp;F&amp;C&amp;A&amp;R&amp;9Page &amp;P of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Z75"/>
  <sheetViews>
    <sheetView view="pageBreakPreview" topLeftCell="A19" zoomScale="115" zoomScaleNormal="55" zoomScaleSheetLayoutView="115" workbookViewId="0">
      <selection activeCell="C35" sqref="C35"/>
    </sheetView>
  </sheetViews>
  <sheetFormatPr defaultRowHeight="12.75"/>
  <cols>
    <col min="1" max="7" width="18.140625" style="861" customWidth="1"/>
    <col min="8" max="8" width="47.28515625" style="861" customWidth="1"/>
    <col min="9" max="11" width="18.140625" style="861" customWidth="1"/>
    <col min="12" max="12" width="42.85546875" style="861" customWidth="1"/>
    <col min="13" max="13" width="4.28515625" style="861" customWidth="1"/>
    <col min="14" max="15" width="9.140625" style="861"/>
    <col min="16" max="26" width="0" style="861" hidden="1" customWidth="1"/>
    <col min="27" max="16384" width="9.140625" style="861"/>
  </cols>
  <sheetData>
    <row r="1" spans="1:26" ht="18">
      <c r="A1" s="1974" t="s">
        <v>208</v>
      </c>
      <c r="B1" s="1974"/>
      <c r="C1" s="1974"/>
      <c r="D1" s="1974"/>
      <c r="E1" s="1974"/>
      <c r="F1" s="1974"/>
      <c r="G1" s="916"/>
      <c r="H1" s="916"/>
      <c r="I1" s="917"/>
      <c r="J1" s="917"/>
      <c r="K1" s="917"/>
      <c r="L1" s="72"/>
      <c r="M1" s="723"/>
    </row>
    <row r="2" spans="1:26" ht="7.5" customHeight="1" thickBot="1">
      <c r="A2" s="72"/>
      <c r="B2" s="72"/>
      <c r="C2" s="72"/>
      <c r="D2" s="918"/>
      <c r="E2" s="453"/>
      <c r="F2" s="919"/>
      <c r="G2" s="523"/>
      <c r="H2" s="72"/>
      <c r="I2" s="917"/>
      <c r="J2" s="917"/>
      <c r="K2" s="917"/>
      <c r="L2" s="72"/>
      <c r="M2" s="723"/>
    </row>
    <row r="3" spans="1:26">
      <c r="A3" s="1975" t="s">
        <v>427</v>
      </c>
      <c r="B3" s="1976"/>
      <c r="C3" s="1977" t="str">
        <f>'PR_Programmatic Progress_1A'!C5:F5</f>
        <v>Bhutan</v>
      </c>
      <c r="D3" s="1978"/>
      <c r="E3" s="453"/>
      <c r="F3" s="1979" t="s">
        <v>428</v>
      </c>
      <c r="G3" s="1980"/>
      <c r="H3" s="1980"/>
      <c r="I3" s="917"/>
      <c r="J3" s="917"/>
      <c r="K3" s="917"/>
      <c r="L3" s="72"/>
      <c r="M3" s="723"/>
    </row>
    <row r="4" spans="1:26">
      <c r="A4" s="1961" t="s">
        <v>429</v>
      </c>
      <c r="B4" s="1962"/>
      <c r="C4" s="1963" t="str">
        <f>'PR_Programmatic Progress_1A'!C7:F7</f>
        <v>BTN-607-G03-H</v>
      </c>
      <c r="D4" s="1964"/>
      <c r="E4" s="453"/>
      <c r="F4" s="1980"/>
      <c r="G4" s="1980"/>
      <c r="H4" s="1980"/>
      <c r="I4" s="917"/>
      <c r="J4" s="917"/>
      <c r="K4" s="917"/>
      <c r="L4" s="72"/>
      <c r="M4" s="723"/>
    </row>
    <row r="5" spans="1:26">
      <c r="A5" s="1961" t="s">
        <v>430</v>
      </c>
      <c r="B5" s="1962"/>
      <c r="C5" s="1963" t="str">
        <f>'PR_Programmatic Progress_1A'!C8:F8</f>
        <v xml:space="preserve">Ministry of Health </v>
      </c>
      <c r="D5" s="1964"/>
      <c r="E5" s="453"/>
      <c r="F5" s="1252" t="s">
        <v>324</v>
      </c>
      <c r="G5" s="523"/>
      <c r="H5" s="72"/>
      <c r="I5" s="917"/>
      <c r="J5" s="917"/>
      <c r="K5" s="917"/>
      <c r="L5" s="72"/>
      <c r="M5" s="723"/>
    </row>
    <row r="6" spans="1:26" ht="13.5" thickBot="1">
      <c r="A6" s="1965" t="s">
        <v>349</v>
      </c>
      <c r="B6" s="1966"/>
      <c r="C6" s="1967" t="s">
        <v>658</v>
      </c>
      <c r="D6" s="1968"/>
      <c r="E6" s="453"/>
      <c r="F6" s="919"/>
      <c r="G6" s="523"/>
      <c r="H6" s="72"/>
      <c r="I6" s="917"/>
      <c r="J6" s="917"/>
      <c r="K6" s="917"/>
      <c r="L6" s="72"/>
      <c r="M6" s="723"/>
    </row>
    <row r="7" spans="1:26">
      <c r="A7" s="1973"/>
      <c r="B7" s="1973"/>
      <c r="C7" s="72"/>
      <c r="D7" s="72"/>
      <c r="E7" s="72"/>
      <c r="F7" s="72"/>
      <c r="G7" s="920" t="s">
        <v>432</v>
      </c>
      <c r="H7" s="72"/>
      <c r="I7" s="917"/>
      <c r="J7" s="917"/>
      <c r="K7" s="920" t="s">
        <v>432</v>
      </c>
      <c r="L7" s="72"/>
      <c r="M7" s="723"/>
    </row>
    <row r="8" spans="1:26">
      <c r="A8" s="1949"/>
      <c r="B8" s="1949"/>
      <c r="C8" s="627"/>
      <c r="D8" s="72"/>
      <c r="E8" s="1947" t="s">
        <v>433</v>
      </c>
      <c r="F8" s="921" t="s">
        <v>434</v>
      </c>
      <c r="G8" s="922"/>
      <c r="H8" s="999"/>
      <c r="I8" s="1947" t="s">
        <v>435</v>
      </c>
      <c r="J8" s="921" t="s">
        <v>434</v>
      </c>
      <c r="K8" s="922"/>
      <c r="L8" s="72"/>
      <c r="M8" s="723"/>
    </row>
    <row r="9" spans="1:26">
      <c r="A9" s="72"/>
      <c r="B9" s="72"/>
      <c r="C9" s="72"/>
      <c r="D9" s="918"/>
      <c r="E9" s="1948"/>
      <c r="F9" s="921" t="s">
        <v>611</v>
      </c>
      <c r="G9" s="922"/>
      <c r="H9" s="999"/>
      <c r="I9" s="1948"/>
      <c r="J9" s="921" t="s">
        <v>611</v>
      </c>
      <c r="K9" s="922"/>
      <c r="L9" s="72"/>
      <c r="M9" s="723"/>
    </row>
    <row r="10" spans="1:26" ht="40.5" customHeight="1">
      <c r="A10" s="72"/>
      <c r="B10" s="72"/>
      <c r="C10" s="914"/>
      <c r="D10" s="918"/>
      <c r="E10" s="72"/>
      <c r="F10" s="72"/>
      <c r="G10" s="923"/>
      <c r="H10" s="923" t="s">
        <v>436</v>
      </c>
      <c r="I10" s="72"/>
      <c r="J10" s="72"/>
      <c r="K10" s="72"/>
      <c r="L10" s="72"/>
      <c r="M10" s="723"/>
    </row>
    <row r="11" spans="1:26" ht="5.25" customHeight="1">
      <c r="A11" s="72"/>
      <c r="B11" s="72"/>
      <c r="C11" s="72"/>
      <c r="D11" s="918"/>
      <c r="E11" s="72"/>
      <c r="F11" s="72"/>
      <c r="G11" s="923"/>
      <c r="H11" s="923"/>
      <c r="I11" s="72"/>
      <c r="J11" s="72"/>
      <c r="K11" s="72"/>
      <c r="L11" s="72"/>
      <c r="M11" s="723"/>
    </row>
    <row r="12" spans="1:26" ht="14.25" customHeight="1">
      <c r="A12" s="72"/>
      <c r="B12" s="72"/>
      <c r="C12" s="72"/>
      <c r="D12" s="918"/>
      <c r="E12" s="1956" t="s">
        <v>437</v>
      </c>
      <c r="F12" s="1956"/>
      <c r="G12" s="1956"/>
      <c r="H12" s="1956"/>
      <c r="I12" s="72"/>
      <c r="J12" s="72"/>
      <c r="K12" s="72"/>
      <c r="L12" s="72"/>
      <c r="M12" s="723"/>
    </row>
    <row r="13" spans="1:26">
      <c r="A13" s="72"/>
      <c r="B13" s="72"/>
      <c r="C13" s="72"/>
      <c r="D13" s="918"/>
      <c r="E13" s="1956"/>
      <c r="F13" s="1956"/>
      <c r="G13" s="1956"/>
      <c r="H13" s="1956"/>
      <c r="I13" s="72"/>
      <c r="J13" s="72"/>
      <c r="K13" s="72"/>
      <c r="L13" s="72"/>
      <c r="M13" s="723"/>
    </row>
    <row r="14" spans="1:26" ht="6" customHeight="1" thickBot="1">
      <c r="A14" s="72"/>
      <c r="B14" s="72"/>
      <c r="C14" s="72"/>
      <c r="D14" s="918"/>
      <c r="E14" s="924"/>
      <c r="F14" s="924"/>
      <c r="G14" s="924"/>
      <c r="H14" s="924"/>
      <c r="I14" s="72"/>
      <c r="J14" s="72"/>
      <c r="K14" s="72"/>
      <c r="L14" s="72"/>
      <c r="M14" s="723"/>
    </row>
    <row r="15" spans="1:26" ht="15.75" customHeight="1" thickBot="1">
      <c r="A15" s="911" t="s">
        <v>438</v>
      </c>
      <c r="B15" s="719"/>
      <c r="C15" s="719"/>
      <c r="D15" s="925"/>
      <c r="E15" s="1960" t="s">
        <v>433</v>
      </c>
      <c r="F15" s="1958"/>
      <c r="G15" s="1958"/>
      <c r="H15" s="1958"/>
      <c r="I15" s="1957" t="s">
        <v>435</v>
      </c>
      <c r="J15" s="1958"/>
      <c r="K15" s="1958"/>
      <c r="L15" s="1959"/>
      <c r="M15" s="723"/>
      <c r="P15" s="1851" t="str">
        <f>IF('PR_Programmatic Progress_1A'!R15="Select","Please select currency on Page 'PR_Programmatic Achievement (1)'", "All amounts are in: "&amp;'PR_Programmatic Progress_1A'!R15)</f>
        <v xml:space="preserve">All amounts are in: </v>
      </c>
      <c r="Q15" s="1926"/>
      <c r="R15" s="500" t="s">
        <v>598</v>
      </c>
      <c r="S15" s="500" t="s">
        <v>416</v>
      </c>
      <c r="T15" s="181" t="s">
        <v>599</v>
      </c>
      <c r="U15" s="1912" t="s">
        <v>600</v>
      </c>
      <c r="V15" s="1913"/>
      <c r="W15" s="500" t="s">
        <v>404</v>
      </c>
      <c r="X15" s="500" t="s">
        <v>417</v>
      </c>
      <c r="Y15" s="500" t="s">
        <v>599</v>
      </c>
      <c r="Z15" s="182" t="s">
        <v>600</v>
      </c>
    </row>
    <row r="16" spans="1:26" ht="30.75" thickBot="1">
      <c r="A16" s="720" t="s">
        <v>439</v>
      </c>
      <c r="B16" s="1972" t="s">
        <v>440</v>
      </c>
      <c r="C16" s="1972"/>
      <c r="D16" s="926"/>
      <c r="E16" s="913" t="s">
        <v>441</v>
      </c>
      <c r="F16" s="927" t="s">
        <v>442</v>
      </c>
      <c r="G16" s="928" t="s">
        <v>599</v>
      </c>
      <c r="H16" s="929" t="s">
        <v>600</v>
      </c>
      <c r="I16" s="721" t="s">
        <v>443</v>
      </c>
      <c r="J16" s="930" t="s">
        <v>444</v>
      </c>
      <c r="K16" s="931" t="s">
        <v>599</v>
      </c>
      <c r="L16" s="932" t="s">
        <v>600</v>
      </c>
      <c r="M16" s="723"/>
      <c r="P16" s="1943" t="s">
        <v>168</v>
      </c>
      <c r="Q16" s="1944"/>
      <c r="R16" s="483">
        <f>R17+R18</f>
        <v>106874</v>
      </c>
      <c r="S16" s="483">
        <f>S17+S18</f>
        <v>128493.31</v>
      </c>
      <c r="T16" s="478">
        <f>IF(R16="",IF(S16="","",R16-S16),R16-S16)</f>
        <v>-21619.309999999998</v>
      </c>
      <c r="U16" s="1921"/>
      <c r="V16" s="1922"/>
      <c r="W16" s="483">
        <f>W17+W18</f>
        <v>2445149.0700000003</v>
      </c>
      <c r="X16" s="483">
        <f>X17+X18</f>
        <v>2147300.1100000003</v>
      </c>
      <c r="Y16" s="478">
        <f>IF(W16="",IF(X16="","",W16-X16),W16-X16)</f>
        <v>297848.95999999996</v>
      </c>
      <c r="Z16" s="377"/>
    </row>
    <row r="17" spans="1:26" ht="14.25">
      <c r="A17" s="933">
        <v>1</v>
      </c>
      <c r="B17" s="1969" t="s">
        <v>445</v>
      </c>
      <c r="C17" s="1970"/>
      <c r="D17" s="1971"/>
      <c r="E17" s="1394">
        <f>'[5]Year 5'!$H$48</f>
        <v>6000</v>
      </c>
      <c r="F17" s="934"/>
      <c r="G17" s="935">
        <f>IF((E17=0)*AND(F17=0)," ",E17-F17)</f>
        <v>6000</v>
      </c>
      <c r="H17" s="936"/>
      <c r="I17" s="937"/>
      <c r="J17" s="938"/>
      <c r="K17" s="935" t="str">
        <f t="shared" ref="K17:K29" si="0">IF((I17=0)*AND(J17=0)," ",I17-J17)</f>
        <v xml:space="preserve"> </v>
      </c>
      <c r="L17" s="939"/>
      <c r="M17" s="723"/>
      <c r="P17" s="1945" t="s">
        <v>601</v>
      </c>
      <c r="Q17" s="1946"/>
      <c r="R17" s="470">
        <f>'PR_Total PR Cash Outflow_3A'!C13</f>
        <v>34989</v>
      </c>
      <c r="S17" s="470">
        <f>'PR_Total PR Cash Outflow_3A'!D13</f>
        <v>31065.63</v>
      </c>
      <c r="T17" s="478">
        <f>IF(R17="",IF(S17="",0,R17-S17),R17-S17)</f>
        <v>3923.369999999999</v>
      </c>
      <c r="U17" s="1857"/>
      <c r="V17" s="1886"/>
      <c r="W17" s="470">
        <f>'PR_Total PR Cash Outflow_3A'!H13</f>
        <v>1109367</v>
      </c>
      <c r="X17" s="470">
        <f>'PR_Total PR Cash Outflow_3A'!I13</f>
        <v>1014297.76</v>
      </c>
      <c r="Y17" s="478">
        <f>IF(W17="",IF(X17="",0,W17-X17),W17-X17)</f>
        <v>95069.239999999991</v>
      </c>
      <c r="Z17" s="890"/>
    </row>
    <row r="18" spans="1:26" ht="15" thickBot="1">
      <c r="A18" s="940">
        <v>2</v>
      </c>
      <c r="B18" s="1953" t="s">
        <v>446</v>
      </c>
      <c r="C18" s="1954"/>
      <c r="D18" s="1955"/>
      <c r="E18" s="1395">
        <v>0</v>
      </c>
      <c r="F18" s="941"/>
      <c r="G18" s="935" t="str">
        <f t="shared" ref="G18:G29" si="1">IF((E18=0)*AND(F18=0)," ",E18-F18)</f>
        <v xml:space="preserve"> </v>
      </c>
      <c r="H18" s="942"/>
      <c r="I18" s="943"/>
      <c r="J18" s="944"/>
      <c r="K18" s="935" t="str">
        <f t="shared" si="0"/>
        <v xml:space="preserve"> </v>
      </c>
      <c r="L18" s="945"/>
      <c r="M18" s="723"/>
      <c r="P18" s="1941" t="s">
        <v>602</v>
      </c>
      <c r="Q18" s="1942"/>
      <c r="R18" s="471">
        <f>'PR_Total PR Cash Outflow_3A'!C14</f>
        <v>71885</v>
      </c>
      <c r="S18" s="471">
        <f>'PR_Total PR Cash Outflow_3A'!D14</f>
        <v>97427.68</v>
      </c>
      <c r="T18" s="750">
        <f>IF(R18="",IF(S18="",0,R18-S18),R18-S18)</f>
        <v>-25542.679999999993</v>
      </c>
      <c r="U18" s="1868"/>
      <c r="V18" s="1938"/>
      <c r="W18" s="471">
        <f>'PR_Total PR Cash Outflow_3A'!H14</f>
        <v>1335782.07</v>
      </c>
      <c r="X18" s="471">
        <f>'PR_Total PR Cash Outflow_3A'!I14</f>
        <v>1133002.3500000001</v>
      </c>
      <c r="Y18" s="750">
        <f>IF(W18="",IF(X18="",0,W18-X18),W18-X18)</f>
        <v>202779.71999999997</v>
      </c>
      <c r="Z18" s="1094"/>
    </row>
    <row r="19" spans="1:26" ht="15.75" customHeight="1" thickBot="1">
      <c r="A19" s="940">
        <v>3</v>
      </c>
      <c r="B19" s="1953" t="s">
        <v>447</v>
      </c>
      <c r="C19" s="1954"/>
      <c r="D19" s="1955"/>
      <c r="E19" s="1395">
        <f>'[5]Year 4'!$H$15+'[5]Year 4'!$H$18+'[5]Year 4'!$H$20+'[5]Year 4'!$H$29+'[5]Year 4'!$H$33+'[5]Year 4'!$H$39+'[5]Year 4'!$H$60+'[6]Year 4'!$H$16+'[6]Year 4'!$H$59</f>
        <v>141354</v>
      </c>
      <c r="F19" s="941"/>
      <c r="G19" s="935">
        <f t="shared" si="1"/>
        <v>141354</v>
      </c>
      <c r="H19" s="942"/>
      <c r="I19" s="943"/>
      <c r="J19" s="944"/>
      <c r="K19" s="935" t="str">
        <f t="shared" si="0"/>
        <v xml:space="preserve"> </v>
      </c>
      <c r="L19" s="945"/>
      <c r="M19" s="723"/>
      <c r="P19" s="480"/>
      <c r="Q19" s="480"/>
      <c r="R19" s="481"/>
      <c r="S19" s="481"/>
      <c r="T19" s="482"/>
      <c r="U19" s="542"/>
      <c r="V19" s="542"/>
      <c r="W19" s="481"/>
      <c r="X19" s="481"/>
      <c r="Y19" s="482"/>
      <c r="Z19" s="542"/>
    </row>
    <row r="20" spans="1:26" ht="15.75" customHeight="1">
      <c r="A20" s="940">
        <v>4</v>
      </c>
      <c r="B20" s="1953" t="s">
        <v>448</v>
      </c>
      <c r="C20" s="1954"/>
      <c r="D20" s="1955"/>
      <c r="E20" s="1395">
        <v>0</v>
      </c>
      <c r="F20" s="941"/>
      <c r="G20" s="935" t="str">
        <f t="shared" si="1"/>
        <v xml:space="preserve"> </v>
      </c>
      <c r="H20" s="942"/>
      <c r="I20" s="943"/>
      <c r="J20" s="944"/>
      <c r="K20" s="935" t="str">
        <f t="shared" si="0"/>
        <v xml:space="preserve"> </v>
      </c>
      <c r="L20" s="945"/>
      <c r="M20" s="723"/>
      <c r="P20" s="1851"/>
      <c r="Q20" s="1926"/>
      <c r="R20" s="500" t="s">
        <v>130</v>
      </c>
      <c r="S20" s="500" t="s">
        <v>416</v>
      </c>
      <c r="T20" s="181" t="s">
        <v>599</v>
      </c>
      <c r="U20" s="1842" t="s">
        <v>600</v>
      </c>
      <c r="V20" s="1926"/>
      <c r="W20" s="500" t="s">
        <v>404</v>
      </c>
      <c r="X20" s="500" t="s">
        <v>417</v>
      </c>
      <c r="Y20" s="500" t="s">
        <v>599</v>
      </c>
      <c r="Z20" s="183" t="s">
        <v>600</v>
      </c>
    </row>
    <row r="21" spans="1:26" ht="15">
      <c r="A21" s="940">
        <v>5</v>
      </c>
      <c r="B21" s="1953" t="s">
        <v>449</v>
      </c>
      <c r="C21" s="1954"/>
      <c r="D21" s="1955"/>
      <c r="E21" s="1395"/>
      <c r="F21" s="941"/>
      <c r="G21" s="935" t="str">
        <f t="shared" si="1"/>
        <v xml:space="preserve"> </v>
      </c>
      <c r="H21" s="942"/>
      <c r="I21" s="943"/>
      <c r="J21" s="944"/>
      <c r="K21" s="935" t="str">
        <f t="shared" si="0"/>
        <v xml:space="preserve"> </v>
      </c>
      <c r="L21" s="945"/>
      <c r="M21" s="723"/>
      <c r="P21" s="1939" t="s">
        <v>405</v>
      </c>
      <c r="Q21" s="1940"/>
      <c r="R21" s="478">
        <f>R22+R23</f>
        <v>0</v>
      </c>
      <c r="S21" s="478">
        <f>S22+S23</f>
        <v>0</v>
      </c>
      <c r="T21" s="478">
        <f>IF(R21="",IF(S21="","",R21-S21),R21-S21)</f>
        <v>0</v>
      </c>
      <c r="U21" s="1927"/>
      <c r="V21" s="1928"/>
      <c r="W21" s="486">
        <f>W22+W23</f>
        <v>317474</v>
      </c>
      <c r="X21" s="486">
        <f>X22+X23</f>
        <v>152846.30000000002</v>
      </c>
      <c r="Y21" s="486">
        <f>IF(W21="",IF(X21="","",W21-X21),W21-X21)</f>
        <v>164627.69999999998</v>
      </c>
      <c r="Z21" s="546"/>
    </row>
    <row r="22" spans="1:26" ht="14.25">
      <c r="A22" s="940">
        <v>6</v>
      </c>
      <c r="B22" s="1950" t="s">
        <v>450</v>
      </c>
      <c r="C22" s="1951"/>
      <c r="D22" s="1952"/>
      <c r="E22" s="1395">
        <v>0</v>
      </c>
      <c r="F22" s="941"/>
      <c r="G22" s="935" t="str">
        <f t="shared" si="1"/>
        <v xml:space="preserve"> </v>
      </c>
      <c r="H22" s="942"/>
      <c r="I22" s="943"/>
      <c r="J22" s="944"/>
      <c r="K22" s="935" t="str">
        <f t="shared" si="0"/>
        <v xml:space="preserve"> </v>
      </c>
      <c r="L22" s="945"/>
      <c r="M22" s="723"/>
      <c r="P22" s="1933" t="s">
        <v>392</v>
      </c>
      <c r="Q22" s="1934"/>
      <c r="R22" s="470">
        <f>'PR_Total PR Cash Outflow_3A'!C18</f>
        <v>0</v>
      </c>
      <c r="S22" s="470">
        <f>'PR_Total PR Cash Outflow_3A'!D18</f>
        <v>0</v>
      </c>
      <c r="T22" s="484">
        <f>IF(R22="",IF(S22="",0,R22-S22),R22-S22)</f>
        <v>0</v>
      </c>
      <c r="U22" s="1857"/>
      <c r="V22" s="1886"/>
      <c r="W22" s="470">
        <f>'PR_Total PR Cash Outflow_3A'!H18</f>
        <v>66179</v>
      </c>
      <c r="X22" s="470">
        <f>'PR_Total PR Cash Outflow_3A'!I18</f>
        <v>32352.7</v>
      </c>
      <c r="Y22" s="486">
        <f>IF(W22="",IF(X22="",0,W22-X22),W22-X22)</f>
        <v>33826.300000000003</v>
      </c>
      <c r="Z22" s="891"/>
    </row>
    <row r="23" spans="1:26" ht="15" thickBot="1">
      <c r="A23" s="946">
        <v>7</v>
      </c>
      <c r="B23" s="1950" t="s">
        <v>451</v>
      </c>
      <c r="C23" s="1951"/>
      <c r="D23" s="1952"/>
      <c r="E23" s="1395">
        <f>'[7]Year 4'!$H$8+'[7]Year 4'!$H$9+'[7]Year 4'!$H$10+'[7]Year 4'!$H$11+'[7]Year 4'!$H$12</f>
        <v>47910</v>
      </c>
      <c r="F23" s="941"/>
      <c r="G23" s="935">
        <f t="shared" si="1"/>
        <v>47910</v>
      </c>
      <c r="H23" s="942"/>
      <c r="I23" s="943"/>
      <c r="J23" s="944"/>
      <c r="K23" s="935" t="str">
        <f t="shared" si="0"/>
        <v xml:space="preserve"> </v>
      </c>
      <c r="L23" s="945"/>
      <c r="M23" s="723"/>
      <c r="P23" s="1936" t="s">
        <v>393</v>
      </c>
      <c r="Q23" s="1937"/>
      <c r="R23" s="471">
        <f>'PR_Total PR Cash Outflow_3A'!C19</f>
        <v>0</v>
      </c>
      <c r="S23" s="471">
        <f>'PR_Total PR Cash Outflow_3A'!D19</f>
        <v>0</v>
      </c>
      <c r="T23" s="1093">
        <f>IF(R23="",IF(S23="",0,R23-S23),R23-S23)</f>
        <v>0</v>
      </c>
      <c r="U23" s="1868"/>
      <c r="V23" s="1938"/>
      <c r="W23" s="471">
        <f>'PR_Total PR Cash Outflow_3A'!H19</f>
        <v>251295</v>
      </c>
      <c r="X23" s="471">
        <f>'PR_Total PR Cash Outflow_3A'!I19</f>
        <v>120493.6</v>
      </c>
      <c r="Y23" s="485">
        <f>IF(W23="",IF(X23="",0,W23-X23),W23-X23)</f>
        <v>130801.4</v>
      </c>
      <c r="Z23" s="892"/>
    </row>
    <row r="24" spans="1:26">
      <c r="A24" s="947">
        <v>8</v>
      </c>
      <c r="B24" s="1950" t="s">
        <v>452</v>
      </c>
      <c r="C24" s="1951"/>
      <c r="D24" s="1952"/>
      <c r="E24" s="1395">
        <f>'[7]Year 4'!$H$24+'[7]Year 4'!$H$25+'[7]Year 4'!$H$34+'[7]Year 4'!$H$43+'[7]Year 4'!$H$51</f>
        <v>45375</v>
      </c>
      <c r="F24" s="949"/>
      <c r="G24" s="935">
        <f t="shared" si="1"/>
        <v>45375</v>
      </c>
      <c r="H24" s="950"/>
      <c r="I24" s="943"/>
      <c r="J24" s="944"/>
      <c r="K24" s="935" t="str">
        <f t="shared" si="0"/>
        <v xml:space="preserve"> </v>
      </c>
      <c r="L24" s="951"/>
      <c r="M24" s="723"/>
    </row>
    <row r="25" spans="1:26">
      <c r="A25" s="947">
        <v>9</v>
      </c>
      <c r="B25" s="1950" t="s">
        <v>194</v>
      </c>
      <c r="C25" s="1951"/>
      <c r="D25" s="1952"/>
      <c r="E25" s="1395">
        <f>'[7]Year 4'!$H$56</f>
        <v>2460</v>
      </c>
      <c r="F25" s="949"/>
      <c r="G25" s="935">
        <f t="shared" si="1"/>
        <v>2460</v>
      </c>
      <c r="H25" s="950"/>
      <c r="I25" s="943"/>
      <c r="J25" s="944"/>
      <c r="K25" s="935" t="str">
        <f t="shared" si="0"/>
        <v xml:space="preserve"> </v>
      </c>
      <c r="L25" s="951"/>
      <c r="M25" s="723"/>
    </row>
    <row r="26" spans="1:26">
      <c r="A26" s="947">
        <v>10</v>
      </c>
      <c r="B26" s="1950" t="s">
        <v>195</v>
      </c>
      <c r="C26" s="1951"/>
      <c r="D26" s="1952"/>
      <c r="E26" s="1395">
        <v>0</v>
      </c>
      <c r="F26" s="949"/>
      <c r="G26" s="935" t="str">
        <f t="shared" si="1"/>
        <v xml:space="preserve"> </v>
      </c>
      <c r="H26" s="950"/>
      <c r="I26" s="943"/>
      <c r="J26" s="944"/>
      <c r="K26" s="935" t="str">
        <f t="shared" si="0"/>
        <v xml:space="preserve"> </v>
      </c>
      <c r="L26" s="951"/>
      <c r="M26" s="723"/>
    </row>
    <row r="27" spans="1:26">
      <c r="A27" s="947">
        <v>11</v>
      </c>
      <c r="B27" s="1950" t="s">
        <v>453</v>
      </c>
      <c r="C27" s="1951"/>
      <c r="D27" s="1952"/>
      <c r="E27" s="1395">
        <v>0</v>
      </c>
      <c r="F27" s="949"/>
      <c r="G27" s="935" t="str">
        <f t="shared" si="1"/>
        <v xml:space="preserve"> </v>
      </c>
      <c r="H27" s="950"/>
      <c r="I27" s="943"/>
      <c r="J27" s="944"/>
      <c r="K27" s="935" t="str">
        <f t="shared" si="0"/>
        <v xml:space="preserve"> </v>
      </c>
      <c r="L27" s="951"/>
      <c r="M27" s="723"/>
    </row>
    <row r="28" spans="1:26">
      <c r="A28" s="947">
        <v>12</v>
      </c>
      <c r="B28" s="1950" t="s">
        <v>454</v>
      </c>
      <c r="C28" s="1951"/>
      <c r="D28" s="1952"/>
      <c r="E28" s="1395">
        <f>'[7]Year 4'!$H$30+'[7]Year 4'!$H$46</f>
        <v>1473</v>
      </c>
      <c r="F28" s="949"/>
      <c r="G28" s="935">
        <f t="shared" si="1"/>
        <v>1473</v>
      </c>
      <c r="H28" s="950"/>
      <c r="I28" s="943"/>
      <c r="J28" s="944"/>
      <c r="K28" s="935" t="str">
        <f t="shared" si="0"/>
        <v xml:space="preserve"> </v>
      </c>
      <c r="L28" s="951"/>
      <c r="M28" s="723"/>
    </row>
    <row r="29" spans="1:26" ht="13.5" thickBot="1">
      <c r="A29" s="952">
        <v>13</v>
      </c>
      <c r="B29" s="1984" t="s">
        <v>455</v>
      </c>
      <c r="C29" s="1985"/>
      <c r="D29" s="1986"/>
      <c r="E29" s="1396">
        <v>0</v>
      </c>
      <c r="F29" s="953"/>
      <c r="G29" s="935" t="str">
        <f t="shared" si="1"/>
        <v xml:space="preserve"> </v>
      </c>
      <c r="H29" s="954"/>
      <c r="I29" s="955"/>
      <c r="J29" s="956"/>
      <c r="K29" s="935" t="str">
        <f t="shared" si="0"/>
        <v xml:space="preserve"> </v>
      </c>
      <c r="L29" s="957"/>
      <c r="M29" s="723"/>
    </row>
    <row r="30" spans="1:26" ht="13.5" thickBot="1">
      <c r="A30" s="1987"/>
      <c r="B30" s="1988"/>
      <c r="C30" s="1988"/>
      <c r="D30" s="912" t="s">
        <v>389</v>
      </c>
      <c r="E30" s="958">
        <f>SUM(E17:E29)</f>
        <v>244572</v>
      </c>
      <c r="F30" s="958">
        <f>SUM(F17:F29)</f>
        <v>0</v>
      </c>
      <c r="G30" s="959">
        <f>SUM(G17:G29)</f>
        <v>244572</v>
      </c>
      <c r="H30" s="960"/>
      <c r="I30" s="722">
        <f>SUM(I17:I29)</f>
        <v>0</v>
      </c>
      <c r="J30" s="958">
        <f>SUM(J17:J29)</f>
        <v>0</v>
      </c>
      <c r="K30" s="958">
        <f>SUM(K17:K29)</f>
        <v>0</v>
      </c>
      <c r="L30" s="961"/>
      <c r="M30" s="984"/>
    </row>
    <row r="31" spans="1:26" ht="5.25" customHeight="1">
      <c r="A31" s="962"/>
      <c r="B31" s="963"/>
      <c r="C31" s="963"/>
      <c r="D31" s="964"/>
      <c r="E31" s="962"/>
      <c r="F31" s="962"/>
      <c r="G31" s="965"/>
      <c r="H31" s="965"/>
      <c r="I31" s="72"/>
      <c r="J31" s="72"/>
      <c r="K31" s="72"/>
      <c r="L31" s="72"/>
      <c r="M31" s="723"/>
    </row>
    <row r="32" spans="1:26" ht="6" customHeight="1" thickBot="1">
      <c r="A32" s="962"/>
      <c r="B32" s="963"/>
      <c r="C32" s="963"/>
      <c r="D32" s="964"/>
      <c r="E32" s="962"/>
      <c r="F32" s="962"/>
      <c r="G32" s="965"/>
      <c r="H32" s="965"/>
      <c r="I32" s="72"/>
      <c r="J32" s="72"/>
      <c r="K32" s="72"/>
      <c r="L32" s="72"/>
      <c r="M32" s="723"/>
    </row>
    <row r="33" spans="1:13" ht="16.5" thickBot="1">
      <c r="A33" s="911" t="s">
        <v>456</v>
      </c>
      <c r="B33" s="719"/>
      <c r="C33" s="719"/>
      <c r="D33" s="966"/>
      <c r="E33" s="1960" t="s">
        <v>433</v>
      </c>
      <c r="F33" s="1958"/>
      <c r="G33" s="1958"/>
      <c r="H33" s="1958"/>
      <c r="I33" s="1957" t="s">
        <v>435</v>
      </c>
      <c r="J33" s="1958"/>
      <c r="K33" s="1958"/>
      <c r="L33" s="1959"/>
      <c r="M33" s="723"/>
    </row>
    <row r="34" spans="1:13" ht="30.75" thickBot="1">
      <c r="A34" s="720" t="s">
        <v>439</v>
      </c>
      <c r="B34" s="967" t="s">
        <v>457</v>
      </c>
      <c r="C34" s="968" t="s">
        <v>458</v>
      </c>
      <c r="D34" s="969" t="s">
        <v>459</v>
      </c>
      <c r="E34" s="913" t="s">
        <v>441</v>
      </c>
      <c r="F34" s="927" t="s">
        <v>442</v>
      </c>
      <c r="G34" s="931" t="s">
        <v>599</v>
      </c>
      <c r="H34" s="929" t="s">
        <v>600</v>
      </c>
      <c r="I34" s="721" t="s">
        <v>443</v>
      </c>
      <c r="J34" s="930" t="s">
        <v>444</v>
      </c>
      <c r="K34" s="931" t="s">
        <v>599</v>
      </c>
      <c r="L34" s="970" t="s">
        <v>600</v>
      </c>
      <c r="M34" s="985"/>
    </row>
    <row r="35" spans="1:13" s="723" customFormat="1">
      <c r="A35" s="971"/>
      <c r="B35" s="1370" t="s">
        <v>460</v>
      </c>
      <c r="C35" s="1371"/>
      <c r="D35" s="1372" t="s">
        <v>460</v>
      </c>
      <c r="E35" s="948"/>
      <c r="F35" s="948"/>
      <c r="G35" s="935" t="str">
        <f>IF((E35=0)*AND(F35=0)," ",E35-F35)</f>
        <v xml:space="preserve"> </v>
      </c>
      <c r="H35" s="942"/>
      <c r="I35" s="937"/>
      <c r="J35" s="938"/>
      <c r="K35" s="935" t="str">
        <f>IF((I35=0)*AND(J35=0)," ",I35-J35)</f>
        <v xml:space="preserve"> </v>
      </c>
      <c r="L35" s="972"/>
      <c r="M35" s="986"/>
    </row>
    <row r="36" spans="1:13" s="723" customFormat="1">
      <c r="A36" s="973"/>
      <c r="B36" s="1373" t="s">
        <v>460</v>
      </c>
      <c r="C36" s="1374"/>
      <c r="D36" s="1375" t="s">
        <v>460</v>
      </c>
      <c r="E36" s="948"/>
      <c r="F36" s="948"/>
      <c r="G36" s="935" t="str">
        <f>IF((E36=0)*AND(F36=0)," ",E36-F36)</f>
        <v xml:space="preserve"> </v>
      </c>
      <c r="H36" s="942"/>
      <c r="I36" s="943"/>
      <c r="J36" s="944"/>
      <c r="K36" s="935" t="str">
        <f>IF((I36=0)*AND(J36=0)," ",I36-J36)</f>
        <v xml:space="preserve"> </v>
      </c>
      <c r="L36" s="972"/>
      <c r="M36" s="986"/>
    </row>
    <row r="37" spans="1:13" s="723" customFormat="1">
      <c r="A37" s="973"/>
      <c r="B37" s="1373" t="s">
        <v>460</v>
      </c>
      <c r="C37" s="1374"/>
      <c r="D37" s="1375" t="s">
        <v>460</v>
      </c>
      <c r="E37" s="948"/>
      <c r="F37" s="948"/>
      <c r="G37" s="935" t="str">
        <f>IF((E37=0)*AND(F37=0)," ",E37-F37)</f>
        <v xml:space="preserve"> </v>
      </c>
      <c r="H37" s="974"/>
      <c r="I37" s="943"/>
      <c r="J37" s="944"/>
      <c r="K37" s="935" t="str">
        <f>IF((I37=0)*AND(J37=0)," ",I37-J37)</f>
        <v xml:space="preserve"> </v>
      </c>
      <c r="L37" s="975"/>
      <c r="M37" s="986"/>
    </row>
    <row r="38" spans="1:13" s="723" customFormat="1">
      <c r="A38" s="973"/>
      <c r="B38" s="1373" t="s">
        <v>460</v>
      </c>
      <c r="C38" s="1374"/>
      <c r="D38" s="1375" t="s">
        <v>460</v>
      </c>
      <c r="E38" s="948"/>
      <c r="F38" s="948"/>
      <c r="G38" s="935" t="str">
        <f>IF((E38=0)*AND(F38=0)," ",E38-F38)</f>
        <v xml:space="preserve"> </v>
      </c>
      <c r="H38" s="942"/>
      <c r="I38" s="943"/>
      <c r="J38" s="944"/>
      <c r="K38" s="935" t="str">
        <f>IF((I38=0)*AND(J38=0)," ",I38-J38)</f>
        <v xml:space="preserve"> </v>
      </c>
      <c r="L38" s="972"/>
      <c r="M38" s="986"/>
    </row>
    <row r="39" spans="1:13" s="723" customFormat="1" ht="13.5" thickBot="1">
      <c r="A39" s="725"/>
      <c r="B39" s="1376" t="s">
        <v>460</v>
      </c>
      <c r="C39" s="1377"/>
      <c r="D39" s="1378" t="s">
        <v>460</v>
      </c>
      <c r="E39" s="948"/>
      <c r="F39" s="948"/>
      <c r="G39" s="935" t="str">
        <f>IF((E39=0)*AND(F39=0)," ",E39-F39)</f>
        <v xml:space="preserve"> </v>
      </c>
      <c r="H39" s="976"/>
      <c r="I39" s="943"/>
      <c r="J39" s="944"/>
      <c r="K39" s="935" t="str">
        <f>IF((I39=0)*AND(J39=0)," ",I39-J39)</f>
        <v xml:space="preserve"> </v>
      </c>
      <c r="L39" s="977"/>
      <c r="M39" s="986"/>
    </row>
    <row r="40" spans="1:13" ht="13.5" thickBot="1">
      <c r="A40" s="1989" t="s">
        <v>389</v>
      </c>
      <c r="B40" s="1990"/>
      <c r="C40" s="1990"/>
      <c r="D40" s="1959"/>
      <c r="E40" s="959">
        <f>SUM(E35:E39)</f>
        <v>0</v>
      </c>
      <c r="F40" s="958">
        <f>SUM(F35:F39)</f>
        <v>0</v>
      </c>
      <c r="G40" s="958">
        <f>SUM(G35:G39)</f>
        <v>0</v>
      </c>
      <c r="H40" s="978"/>
      <c r="I40" s="722">
        <f>SUM(I35:I39)</f>
        <v>0</v>
      </c>
      <c r="J40" s="958">
        <f>SUM(J35:J39)</f>
        <v>0</v>
      </c>
      <c r="K40" s="958">
        <f>SUM(K35:K39)</f>
        <v>0</v>
      </c>
      <c r="L40" s="979"/>
      <c r="M40" s="984"/>
    </row>
    <row r="41" spans="1:13">
      <c r="A41" s="1991" t="s">
        <v>196</v>
      </c>
      <c r="B41" s="1992"/>
      <c r="C41" s="1992"/>
      <c r="D41" s="1992"/>
      <c r="E41" s="1993"/>
      <c r="F41" s="962"/>
      <c r="G41" s="962"/>
      <c r="H41" s="962"/>
      <c r="I41" s="72"/>
      <c r="J41" s="72"/>
      <c r="K41" s="72"/>
      <c r="L41" s="72"/>
      <c r="M41" s="723"/>
    </row>
    <row r="42" spans="1:13">
      <c r="A42" s="1994"/>
      <c r="B42" s="1992"/>
      <c r="C42" s="1992"/>
      <c r="D42" s="1992"/>
      <c r="E42" s="1993"/>
      <c r="F42" s="962"/>
      <c r="G42" s="962"/>
      <c r="H42" s="962"/>
      <c r="I42" s="72"/>
      <c r="J42" s="72"/>
      <c r="K42" s="72"/>
      <c r="L42" s="72"/>
      <c r="M42" s="723"/>
    </row>
    <row r="43" spans="1:13">
      <c r="A43" s="1995"/>
      <c r="B43" s="1996"/>
      <c r="C43" s="1996"/>
      <c r="D43" s="1996"/>
      <c r="E43" s="1997"/>
      <c r="F43" s="962"/>
      <c r="G43" s="962"/>
      <c r="H43" s="962"/>
      <c r="I43" s="72"/>
      <c r="J43" s="72"/>
      <c r="K43" s="72"/>
      <c r="L43" s="72"/>
      <c r="M43" s="723"/>
    </row>
    <row r="44" spans="1:13" ht="10.5" customHeight="1" thickBot="1">
      <c r="A44" s="988"/>
      <c r="B44" s="989"/>
      <c r="C44" s="989"/>
      <c r="D44" s="990"/>
      <c r="E44" s="991"/>
      <c r="F44" s="991"/>
      <c r="G44" s="991"/>
      <c r="H44" s="991"/>
      <c r="I44" s="991"/>
      <c r="J44" s="991"/>
      <c r="K44" s="991"/>
      <c r="L44" s="992"/>
      <c r="M44" s="723"/>
    </row>
    <row r="45" spans="1:13" ht="16.5" thickBot="1">
      <c r="A45" s="980" t="s">
        <v>461</v>
      </c>
      <c r="B45" s="981"/>
      <c r="C45" s="981"/>
      <c r="D45" s="982"/>
      <c r="E45" s="1998" t="s">
        <v>433</v>
      </c>
      <c r="F45" s="1999"/>
      <c r="G45" s="1999"/>
      <c r="H45" s="1999"/>
      <c r="I45" s="2000" t="s">
        <v>435</v>
      </c>
      <c r="J45" s="1999"/>
      <c r="K45" s="1999"/>
      <c r="L45" s="1959"/>
      <c r="M45" s="723"/>
    </row>
    <row r="46" spans="1:13" ht="45.75" thickBot="1">
      <c r="A46" s="720" t="s">
        <v>439</v>
      </c>
      <c r="B46" s="726" t="s">
        <v>462</v>
      </c>
      <c r="C46" s="726" t="s">
        <v>463</v>
      </c>
      <c r="D46" s="727" t="s">
        <v>464</v>
      </c>
      <c r="E46" s="913" t="s">
        <v>441</v>
      </c>
      <c r="F46" s="927" t="s">
        <v>442</v>
      </c>
      <c r="G46" s="931" t="s">
        <v>599</v>
      </c>
      <c r="H46" s="929" t="s">
        <v>600</v>
      </c>
      <c r="I46" s="721" t="s">
        <v>443</v>
      </c>
      <c r="J46" s="930" t="s">
        <v>444</v>
      </c>
      <c r="K46" s="931" t="s">
        <v>599</v>
      </c>
      <c r="L46" s="970" t="s">
        <v>600</v>
      </c>
      <c r="M46" s="985"/>
    </row>
    <row r="47" spans="1:13" s="723" customFormat="1">
      <c r="A47" s="728"/>
      <c r="B47" s="724" t="s">
        <v>431</v>
      </c>
      <c r="C47" s="729"/>
      <c r="D47" s="730" t="s">
        <v>460</v>
      </c>
      <c r="E47" s="983"/>
      <c r="F47" s="948"/>
      <c r="G47" s="935" t="str">
        <f>IF((E47=0)*AND(F47=0)," ",E47-F47)</f>
        <v xml:space="preserve"> </v>
      </c>
      <c r="H47" s="942"/>
      <c r="I47" s="943"/>
      <c r="J47" s="944"/>
      <c r="K47" s="935" t="str">
        <f>IF((I47=0)*AND(J47=0)," ",I47-J47)</f>
        <v xml:space="preserve"> </v>
      </c>
      <c r="L47" s="972"/>
      <c r="M47" s="986"/>
    </row>
    <row r="48" spans="1:13" s="723" customFormat="1">
      <c r="A48" s="728"/>
      <c r="B48" s="724" t="s">
        <v>431</v>
      </c>
      <c r="C48" s="729"/>
      <c r="D48" s="1379" t="s">
        <v>460</v>
      </c>
      <c r="E48" s="983"/>
      <c r="F48" s="948"/>
      <c r="G48" s="935" t="str">
        <f>IF((E48=0)*AND(F48=0)," ",E48-F48)</f>
        <v xml:space="preserve"> </v>
      </c>
      <c r="H48" s="942"/>
      <c r="I48" s="943"/>
      <c r="J48" s="944"/>
      <c r="K48" s="935" t="str">
        <f>IF((I48=0)*AND(J48=0)," ",I48-J48)</f>
        <v xml:space="preserve"> </v>
      </c>
      <c r="L48" s="972"/>
      <c r="M48" s="986"/>
    </row>
    <row r="49" spans="1:13" s="723" customFormat="1">
      <c r="A49" s="728"/>
      <c r="B49" s="724" t="s">
        <v>431</v>
      </c>
      <c r="C49" s="729"/>
      <c r="D49" s="730" t="s">
        <v>460</v>
      </c>
      <c r="E49" s="983"/>
      <c r="F49" s="948"/>
      <c r="G49" s="935" t="str">
        <f>IF((E49=0)*AND(F49=0)," ",E49-F49)</f>
        <v xml:space="preserve"> </v>
      </c>
      <c r="H49" s="942"/>
      <c r="I49" s="943"/>
      <c r="J49" s="944"/>
      <c r="K49" s="935" t="str">
        <f>IF((I49=0)*AND(J49=0)," ",I49-J49)</f>
        <v xml:space="preserve"> </v>
      </c>
      <c r="L49" s="972"/>
      <c r="M49" s="986"/>
    </row>
    <row r="50" spans="1:13" s="723" customFormat="1">
      <c r="A50" s="728"/>
      <c r="B50" s="724" t="s">
        <v>431</v>
      </c>
      <c r="C50" s="729"/>
      <c r="D50" s="730" t="s">
        <v>460</v>
      </c>
      <c r="E50" s="983"/>
      <c r="F50" s="948"/>
      <c r="G50" s="935" t="str">
        <f>IF((E50=0)*AND(F50=0)," ",E50-F50)</f>
        <v xml:space="preserve"> </v>
      </c>
      <c r="H50" s="942"/>
      <c r="I50" s="943"/>
      <c r="J50" s="944"/>
      <c r="K50" s="935" t="str">
        <f>IF((I50=0)*AND(J50=0)," ",I50-J50)</f>
        <v xml:space="preserve"> </v>
      </c>
      <c r="L50" s="972"/>
      <c r="M50" s="986"/>
    </row>
    <row r="51" spans="1:13" s="723" customFormat="1" ht="13.5" thickBot="1">
      <c r="A51" s="725"/>
      <c r="B51" s="731" t="s">
        <v>431</v>
      </c>
      <c r="C51" s="732"/>
      <c r="D51" s="730" t="s">
        <v>460</v>
      </c>
      <c r="E51" s="983"/>
      <c r="F51" s="948"/>
      <c r="G51" s="935" t="str">
        <f>IF((E51=0)*AND(F51=0)," ",E51-F51)</f>
        <v xml:space="preserve"> </v>
      </c>
      <c r="H51" s="976"/>
      <c r="I51" s="943"/>
      <c r="J51" s="944"/>
      <c r="K51" s="935" t="str">
        <f>IF((I51=0)*AND(J51=0)," ",I51-J51)</f>
        <v xml:space="preserve"> </v>
      </c>
      <c r="L51" s="977"/>
      <c r="M51" s="986"/>
    </row>
    <row r="52" spans="1:13" ht="13.5" thickBot="1">
      <c r="A52" s="733"/>
      <c r="B52" s="734"/>
      <c r="C52" s="734"/>
      <c r="D52" s="912" t="s">
        <v>389</v>
      </c>
      <c r="E52" s="959">
        <f>SUM(E47:E51)</f>
        <v>0</v>
      </c>
      <c r="F52" s="958">
        <f>SUM(F47:F51)</f>
        <v>0</v>
      </c>
      <c r="G52" s="958">
        <f>SUM(G47:G51)</f>
        <v>0</v>
      </c>
      <c r="H52" s="978"/>
      <c r="I52" s="722">
        <f>SUM(I47:I51)</f>
        <v>0</v>
      </c>
      <c r="J52" s="958">
        <f>SUM(J47:J51)</f>
        <v>0</v>
      </c>
      <c r="K52" s="958">
        <f>SUM(K47:K51)</f>
        <v>0</v>
      </c>
      <c r="L52" s="979"/>
      <c r="M52" s="984"/>
    </row>
    <row r="53" spans="1:13">
      <c r="A53" s="2001" t="s">
        <v>197</v>
      </c>
      <c r="B53" s="2002"/>
      <c r="C53" s="2002"/>
      <c r="D53" s="2002"/>
      <c r="E53" s="2003"/>
      <c r="F53" s="962"/>
      <c r="G53" s="962"/>
      <c r="H53" s="962"/>
      <c r="I53" s="72"/>
      <c r="J53" s="72"/>
      <c r="K53" s="72"/>
      <c r="L53" s="72"/>
      <c r="M53" s="723"/>
    </row>
    <row r="54" spans="1:13">
      <c r="A54" s="2004"/>
      <c r="B54" s="2002"/>
      <c r="C54" s="2002"/>
      <c r="D54" s="2002"/>
      <c r="E54" s="2003"/>
      <c r="F54" s="962"/>
      <c r="G54" s="962"/>
      <c r="H54" s="962"/>
      <c r="I54" s="72"/>
      <c r="J54" s="72"/>
      <c r="K54" s="72"/>
      <c r="L54" s="72"/>
      <c r="M54" s="723"/>
    </row>
    <row r="55" spans="1:13">
      <c r="A55" s="2005"/>
      <c r="B55" s="2006"/>
      <c r="C55" s="2006"/>
      <c r="D55" s="2006"/>
      <c r="E55" s="2007"/>
      <c r="F55" s="962"/>
      <c r="G55" s="962"/>
      <c r="H55" s="962"/>
      <c r="I55" s="72"/>
      <c r="J55" s="72"/>
      <c r="K55" s="72"/>
      <c r="L55" s="72"/>
      <c r="M55" s="723"/>
    </row>
    <row r="56" spans="1:13" ht="7.5" customHeight="1">
      <c r="A56" s="993"/>
      <c r="B56" s="994"/>
      <c r="C56" s="994"/>
      <c r="D56" s="994"/>
      <c r="E56" s="994"/>
      <c r="F56" s="962"/>
      <c r="G56" s="962"/>
      <c r="H56" s="962"/>
      <c r="I56" s="72"/>
      <c r="J56" s="72"/>
      <c r="K56" s="72"/>
      <c r="L56" s="72"/>
      <c r="M56" s="723"/>
    </row>
    <row r="57" spans="1:13">
      <c r="A57" s="72" t="s">
        <v>198</v>
      </c>
      <c r="B57" s="963"/>
      <c r="C57" s="963"/>
      <c r="D57" s="964"/>
      <c r="E57" s="964"/>
      <c r="F57" s="962"/>
      <c r="G57" s="962"/>
      <c r="H57" s="962"/>
      <c r="I57" s="72"/>
      <c r="J57" s="72"/>
      <c r="K57" s="72"/>
      <c r="L57" s="72"/>
      <c r="M57" s="723"/>
    </row>
    <row r="58" spans="1:13">
      <c r="A58" s="72" t="s">
        <v>465</v>
      </c>
      <c r="B58" s="72"/>
      <c r="C58" s="72"/>
      <c r="D58" s="72"/>
      <c r="E58" s="453"/>
      <c r="F58" s="919"/>
      <c r="G58" s="523"/>
      <c r="H58" s="72"/>
      <c r="I58" s="72"/>
      <c r="J58" s="72"/>
      <c r="K58" s="72"/>
      <c r="L58" s="72"/>
      <c r="M58" s="723"/>
    </row>
    <row r="59" spans="1:13" ht="6" customHeight="1" thickBot="1">
      <c r="A59" s="995"/>
      <c r="B59" s="72"/>
      <c r="C59" s="453"/>
      <c r="D59" s="72"/>
      <c r="E59" s="453"/>
      <c r="F59" s="453"/>
      <c r="G59" s="919"/>
      <c r="H59" s="919"/>
      <c r="I59" s="91"/>
      <c r="J59" s="91"/>
      <c r="K59" s="91"/>
      <c r="L59" s="72"/>
      <c r="M59" s="723"/>
    </row>
    <row r="60" spans="1:13" ht="15.75" thickBot="1">
      <c r="A60" s="1981" t="s">
        <v>466</v>
      </c>
      <c r="B60" s="1982"/>
      <c r="C60" s="1982"/>
      <c r="D60" s="1982"/>
      <c r="E60" s="1982"/>
      <c r="F60" s="1982"/>
      <c r="G60" s="1982"/>
      <c r="H60" s="1982"/>
      <c r="I60" s="1982"/>
      <c r="J60" s="1982"/>
      <c r="K60" s="1982"/>
      <c r="L60" s="1983"/>
      <c r="M60" s="723"/>
    </row>
    <row r="61" spans="1:13" ht="15.75" thickBot="1">
      <c r="A61" s="2023" t="s">
        <v>467</v>
      </c>
      <c r="B61" s="2024"/>
      <c r="C61" s="2024"/>
      <c r="D61" s="2024"/>
      <c r="E61" s="2024"/>
      <c r="F61" s="2024"/>
      <c r="G61" s="2024"/>
      <c r="H61" s="2024"/>
      <c r="I61" s="2024"/>
      <c r="J61" s="2024"/>
      <c r="K61" s="2024"/>
      <c r="L61" s="2025"/>
      <c r="M61" s="723"/>
    </row>
    <row r="62" spans="1:13" ht="6.75" customHeight="1">
      <c r="A62" s="2014"/>
      <c r="B62" s="2015"/>
      <c r="C62" s="2015"/>
      <c r="D62" s="2015"/>
      <c r="E62" s="2015"/>
      <c r="F62" s="2015"/>
      <c r="G62" s="2015"/>
      <c r="H62" s="2015"/>
      <c r="I62" s="2015"/>
      <c r="J62" s="2015"/>
      <c r="K62" s="2015"/>
      <c r="L62" s="2016"/>
      <c r="M62" s="987"/>
    </row>
    <row r="63" spans="1:13" ht="6.75" customHeight="1">
      <c r="A63" s="2017"/>
      <c r="B63" s="2018"/>
      <c r="C63" s="2018"/>
      <c r="D63" s="2018"/>
      <c r="E63" s="2018"/>
      <c r="F63" s="2018"/>
      <c r="G63" s="2018"/>
      <c r="H63" s="2018"/>
      <c r="I63" s="2018"/>
      <c r="J63" s="2018"/>
      <c r="K63" s="2018"/>
      <c r="L63" s="2019"/>
      <c r="M63" s="987"/>
    </row>
    <row r="64" spans="1:13" ht="5.25" customHeight="1">
      <c r="A64" s="2017"/>
      <c r="B64" s="2018"/>
      <c r="C64" s="2018"/>
      <c r="D64" s="2018"/>
      <c r="E64" s="2018"/>
      <c r="F64" s="2018"/>
      <c r="G64" s="2018"/>
      <c r="H64" s="2018"/>
      <c r="I64" s="2018"/>
      <c r="J64" s="2018"/>
      <c r="K64" s="2018"/>
      <c r="L64" s="2019"/>
      <c r="M64" s="987"/>
    </row>
    <row r="65" spans="1:13" ht="7.5" customHeight="1">
      <c r="A65" s="2017"/>
      <c r="B65" s="2018"/>
      <c r="C65" s="2018"/>
      <c r="D65" s="2018"/>
      <c r="E65" s="2018"/>
      <c r="F65" s="2018"/>
      <c r="G65" s="2018"/>
      <c r="H65" s="2018"/>
      <c r="I65" s="2018"/>
      <c r="J65" s="2018"/>
      <c r="K65" s="2018"/>
      <c r="L65" s="2019"/>
      <c r="M65" s="987"/>
    </row>
    <row r="66" spans="1:13" ht="7.5" customHeight="1" thickBot="1">
      <c r="A66" s="2020"/>
      <c r="B66" s="2021"/>
      <c r="C66" s="2021"/>
      <c r="D66" s="2021"/>
      <c r="E66" s="2021"/>
      <c r="F66" s="2021"/>
      <c r="G66" s="2021"/>
      <c r="H66" s="2021"/>
      <c r="I66" s="2021"/>
      <c r="J66" s="2021"/>
      <c r="K66" s="2021"/>
      <c r="L66" s="2022"/>
      <c r="M66" s="987"/>
    </row>
    <row r="67" spans="1:13" ht="9" customHeight="1" thickBot="1">
      <c r="A67" s="996"/>
      <c r="B67" s="723"/>
      <c r="C67" s="997"/>
      <c r="D67" s="723"/>
      <c r="E67" s="997"/>
      <c r="F67" s="997"/>
      <c r="G67" s="998"/>
      <c r="H67" s="998"/>
      <c r="I67" s="723"/>
      <c r="J67" s="723"/>
      <c r="K67" s="723"/>
      <c r="L67" s="723"/>
      <c r="M67" s="723"/>
    </row>
    <row r="68" spans="1:13" ht="16.5" thickBot="1">
      <c r="A68" s="1253" t="s">
        <v>201</v>
      </c>
      <c r="B68" s="1254"/>
      <c r="C68" s="1254"/>
      <c r="D68" s="1255"/>
      <c r="E68" s="2032" t="s">
        <v>435</v>
      </c>
      <c r="F68" s="2033"/>
      <c r="G68" s="2033"/>
      <c r="H68" s="2033"/>
      <c r="I68" s="2033"/>
      <c r="J68" s="2033"/>
      <c r="K68" s="2033"/>
      <c r="L68" s="2034"/>
    </row>
    <row r="69" spans="1:13" ht="45.75" thickBot="1">
      <c r="A69" s="720" t="s">
        <v>439</v>
      </c>
      <c r="B69" s="726" t="s">
        <v>463</v>
      </c>
      <c r="C69" s="727" t="s">
        <v>464</v>
      </c>
      <c r="D69" s="721" t="s">
        <v>202</v>
      </c>
      <c r="E69" s="2011" t="s">
        <v>572</v>
      </c>
      <c r="F69" s="2012"/>
      <c r="G69" s="2012"/>
      <c r="H69" s="2012"/>
      <c r="I69" s="2012"/>
      <c r="J69" s="2012"/>
      <c r="K69" s="2013"/>
    </row>
    <row r="70" spans="1:13" s="723" customFormat="1">
      <c r="A70" s="728"/>
      <c r="B70" s="729"/>
      <c r="C70" s="730" t="s">
        <v>460</v>
      </c>
      <c r="D70" s="1001"/>
      <c r="E70" s="2029"/>
      <c r="F70" s="2030"/>
      <c r="G70" s="2030"/>
      <c r="H70" s="2030"/>
      <c r="I70" s="2030"/>
      <c r="J70" s="2030"/>
      <c r="K70" s="2031"/>
    </row>
    <row r="71" spans="1:13" s="723" customFormat="1">
      <c r="A71" s="728"/>
      <c r="B71" s="729"/>
      <c r="C71" s="730" t="s">
        <v>460</v>
      </c>
      <c r="D71" s="1001"/>
      <c r="E71" s="2026"/>
      <c r="F71" s="2027"/>
      <c r="G71" s="2027"/>
      <c r="H71" s="2027"/>
      <c r="I71" s="2027"/>
      <c r="J71" s="2027"/>
      <c r="K71" s="2028"/>
    </row>
    <row r="72" spans="1:13" s="723" customFormat="1">
      <c r="A72" s="728"/>
      <c r="B72" s="729"/>
      <c r="C72" s="730" t="s">
        <v>460</v>
      </c>
      <c r="D72" s="1001"/>
      <c r="E72" s="2026"/>
      <c r="F72" s="2027"/>
      <c r="G72" s="2027"/>
      <c r="H72" s="2027"/>
      <c r="I72" s="2027"/>
      <c r="J72" s="2027"/>
      <c r="K72" s="2028"/>
    </row>
    <row r="73" spans="1:13" s="723" customFormat="1">
      <c r="A73" s="728"/>
      <c r="B73" s="729"/>
      <c r="C73" s="730" t="s">
        <v>460</v>
      </c>
      <c r="D73" s="1001"/>
      <c r="E73" s="2026"/>
      <c r="F73" s="2027"/>
      <c r="G73" s="2027"/>
      <c r="H73" s="2027"/>
      <c r="I73" s="2027"/>
      <c r="J73" s="2027"/>
      <c r="K73" s="2028"/>
    </row>
    <row r="74" spans="1:13" s="723" customFormat="1" ht="13.5" thickBot="1">
      <c r="A74" s="725"/>
      <c r="B74" s="732"/>
      <c r="C74" s="730" t="s">
        <v>460</v>
      </c>
      <c r="D74" s="1001"/>
      <c r="E74" s="2008"/>
      <c r="F74" s="2009"/>
      <c r="G74" s="2009"/>
      <c r="H74" s="2009"/>
      <c r="I74" s="2009"/>
      <c r="J74" s="2009"/>
      <c r="K74" s="2010"/>
    </row>
    <row r="75" spans="1:13" ht="13.5" thickBot="1">
      <c r="A75" s="733"/>
      <c r="B75" s="734"/>
      <c r="C75" s="912" t="s">
        <v>389</v>
      </c>
      <c r="D75" s="722">
        <f>SUM(D70:D74)</f>
        <v>0</v>
      </c>
      <c r="E75" s="1002"/>
      <c r="F75" s="1003"/>
      <c r="G75" s="1003"/>
      <c r="H75" s="1003"/>
      <c r="I75" s="1003"/>
      <c r="J75" s="1003"/>
      <c r="K75" s="1003"/>
    </row>
  </sheetData>
  <sheetProtection password="92D1" sheet="1" objects="1" scenarios="1" insertRows="0" insertHyperlinks="0" deleteRows="0" selectLockedCells="1"/>
  <mergeCells count="65">
    <mergeCell ref="E74:K74"/>
    <mergeCell ref="E69:K69"/>
    <mergeCell ref="A62:L66"/>
    <mergeCell ref="A61:L61"/>
    <mergeCell ref="E73:K73"/>
    <mergeCell ref="E70:K70"/>
    <mergeCell ref="E68:L68"/>
    <mergeCell ref="E71:K71"/>
    <mergeCell ref="E72:K72"/>
    <mergeCell ref="A60:L60"/>
    <mergeCell ref="B29:D29"/>
    <mergeCell ref="A30:C30"/>
    <mergeCell ref="E33:H33"/>
    <mergeCell ref="I33:L33"/>
    <mergeCell ref="A40:D40"/>
    <mergeCell ref="A41:E43"/>
    <mergeCell ref="E45:H45"/>
    <mergeCell ref="I45:L45"/>
    <mergeCell ref="A53:E55"/>
    <mergeCell ref="A1:F1"/>
    <mergeCell ref="A3:B3"/>
    <mergeCell ref="C3:D3"/>
    <mergeCell ref="F3:H4"/>
    <mergeCell ref="A4:B4"/>
    <mergeCell ref="C4:D4"/>
    <mergeCell ref="B28:D28"/>
    <mergeCell ref="A5:B5"/>
    <mergeCell ref="C5:D5"/>
    <mergeCell ref="B24:D24"/>
    <mergeCell ref="B25:D25"/>
    <mergeCell ref="B26:D26"/>
    <mergeCell ref="B22:D22"/>
    <mergeCell ref="A6:B6"/>
    <mergeCell ref="C6:D6"/>
    <mergeCell ref="B21:D21"/>
    <mergeCell ref="B17:D17"/>
    <mergeCell ref="B16:C16"/>
    <mergeCell ref="A7:B7"/>
    <mergeCell ref="E8:E9"/>
    <mergeCell ref="I8:I9"/>
    <mergeCell ref="A8:B8"/>
    <mergeCell ref="B27:D27"/>
    <mergeCell ref="B23:D23"/>
    <mergeCell ref="B18:D18"/>
    <mergeCell ref="B20:D20"/>
    <mergeCell ref="E12:H13"/>
    <mergeCell ref="I15:L15"/>
    <mergeCell ref="B19:D19"/>
    <mergeCell ref="E15:H15"/>
    <mergeCell ref="P15:Q15"/>
    <mergeCell ref="U15:V15"/>
    <mergeCell ref="P16:Q16"/>
    <mergeCell ref="U16:V16"/>
    <mergeCell ref="P17:Q17"/>
    <mergeCell ref="U17:V17"/>
    <mergeCell ref="P23:Q23"/>
    <mergeCell ref="U23:V23"/>
    <mergeCell ref="U18:V18"/>
    <mergeCell ref="P20:Q20"/>
    <mergeCell ref="U20:V20"/>
    <mergeCell ref="P22:Q22"/>
    <mergeCell ref="U22:V22"/>
    <mergeCell ref="P21:Q21"/>
    <mergeCell ref="U21:V21"/>
    <mergeCell ref="P18:Q18"/>
  </mergeCells>
  <phoneticPr fontId="0" type="noConversion"/>
  <conditionalFormatting sqref="E52 E40">
    <cfRule type="cellIs" dxfId="120" priority="11" stopIfTrue="1" operator="notEqual">
      <formula>$E$30</formula>
    </cfRule>
    <cfRule type="cellIs" dxfId="119" priority="12" stopIfTrue="1" operator="notEqual">
      <formula>$E$52</formula>
    </cfRule>
  </conditionalFormatting>
  <conditionalFormatting sqref="F40 F52">
    <cfRule type="cellIs" dxfId="118" priority="13" stopIfTrue="1" operator="notEqual">
      <formula>$F$30</formula>
    </cfRule>
    <cfRule type="cellIs" dxfId="117" priority="14" stopIfTrue="1" operator="notEqual">
      <formula>$F$52</formula>
    </cfRule>
  </conditionalFormatting>
  <conditionalFormatting sqref="I52 I40">
    <cfRule type="cellIs" dxfId="116" priority="15" stopIfTrue="1" operator="notEqual">
      <formula>$I$30</formula>
    </cfRule>
    <cfRule type="cellIs" dxfId="115" priority="16" stopIfTrue="1" operator="notEqual">
      <formula>$I$52</formula>
    </cfRule>
  </conditionalFormatting>
  <conditionalFormatting sqref="J40">
    <cfRule type="cellIs" dxfId="114" priority="17" stopIfTrue="1" operator="notEqual">
      <formula>$J$30</formula>
    </cfRule>
    <cfRule type="cellIs" dxfId="113" priority="18" stopIfTrue="1" operator="notEqual">
      <formula>$J$52</formula>
    </cfRule>
  </conditionalFormatting>
  <conditionalFormatting sqref="E30">
    <cfRule type="cellIs" dxfId="112" priority="19" stopIfTrue="1" operator="notEqual">
      <formula>$E$40</formula>
    </cfRule>
    <cfRule type="cellIs" dxfId="111" priority="20" stopIfTrue="1" operator="notEqual">
      <formula>$E$52</formula>
    </cfRule>
  </conditionalFormatting>
  <conditionalFormatting sqref="F30">
    <cfRule type="cellIs" dxfId="110" priority="21" stopIfTrue="1" operator="notEqual">
      <formula>$F$40</formula>
    </cfRule>
    <cfRule type="cellIs" dxfId="109" priority="22" stopIfTrue="1" operator="notEqual">
      <formula>$F$52</formula>
    </cfRule>
  </conditionalFormatting>
  <conditionalFormatting sqref="I30">
    <cfRule type="cellIs" dxfId="108" priority="23" stopIfTrue="1" operator="notEqual">
      <formula>$I$40</formula>
    </cfRule>
    <cfRule type="cellIs" dxfId="107" priority="24" stopIfTrue="1" operator="notEqual">
      <formula>$I$52</formula>
    </cfRule>
  </conditionalFormatting>
  <conditionalFormatting sqref="J30">
    <cfRule type="cellIs" dxfId="106" priority="25" stopIfTrue="1" operator="notEqual">
      <formula>$J$40</formula>
    </cfRule>
    <cfRule type="cellIs" dxfId="105" priority="26" stopIfTrue="1" operator="notEqual">
      <formula>$J$52</formula>
    </cfRule>
  </conditionalFormatting>
  <conditionalFormatting sqref="G9">
    <cfRule type="cellIs" dxfId="104" priority="27" stopIfTrue="1" operator="notEqual">
      <formula>$K$9</formula>
    </cfRule>
  </conditionalFormatting>
  <conditionalFormatting sqref="K9">
    <cfRule type="cellIs" dxfId="103" priority="28" stopIfTrue="1" operator="notEqual">
      <formula>$G$9</formula>
    </cfRule>
  </conditionalFormatting>
  <conditionalFormatting sqref="G8">
    <cfRule type="cellIs" dxfId="102" priority="29" stopIfTrue="1" operator="lessThan">
      <formula>$K$8</formula>
    </cfRule>
  </conditionalFormatting>
  <conditionalFormatting sqref="K8">
    <cfRule type="cellIs" dxfId="101" priority="30" stopIfTrue="1" operator="greaterThan">
      <formula>$G$8</formula>
    </cfRule>
  </conditionalFormatting>
  <conditionalFormatting sqref="J52">
    <cfRule type="cellIs" dxfId="100" priority="31" stopIfTrue="1" operator="notEqual">
      <formula>$J$30</formula>
    </cfRule>
    <cfRule type="cellIs" dxfId="99" priority="32" stopIfTrue="1" operator="notEqual">
      <formula>$J$40</formula>
    </cfRule>
  </conditionalFormatting>
  <conditionalFormatting sqref="K52">
    <cfRule type="cellIs" dxfId="98" priority="33" stopIfTrue="1" operator="notEqual">
      <formula>$K$30</formula>
    </cfRule>
    <cfRule type="cellIs" dxfId="97" priority="34" stopIfTrue="1" operator="notEqual">
      <formula>$K$40</formula>
    </cfRule>
  </conditionalFormatting>
  <conditionalFormatting sqref="K40">
    <cfRule type="cellIs" dxfId="96" priority="35" stopIfTrue="1" operator="notEqual">
      <formula>$K$30</formula>
    </cfRule>
    <cfRule type="cellIs" dxfId="95" priority="36" stopIfTrue="1" operator="notEqual">
      <formula>$K$52</formula>
    </cfRule>
  </conditionalFormatting>
  <conditionalFormatting sqref="K30">
    <cfRule type="cellIs" dxfId="94" priority="37" stopIfTrue="1" operator="notEqual">
      <formula>$K$40</formula>
    </cfRule>
    <cfRule type="cellIs" dxfId="93" priority="38" stopIfTrue="1" operator="notEqual">
      <formula>$K$52</formula>
    </cfRule>
  </conditionalFormatting>
  <conditionalFormatting sqref="G30">
    <cfRule type="cellIs" dxfId="92" priority="39" stopIfTrue="1" operator="notEqual">
      <formula>$G$40</formula>
    </cfRule>
    <cfRule type="cellIs" dxfId="91" priority="40" stopIfTrue="1" operator="notEqual">
      <formula>$G$52</formula>
    </cfRule>
  </conditionalFormatting>
  <conditionalFormatting sqref="G40 G52">
    <cfRule type="cellIs" dxfId="90" priority="41" stopIfTrue="1" operator="notEqual">
      <formula>$G$30</formula>
    </cfRule>
    <cfRule type="cellIs" dxfId="89" priority="42" stopIfTrue="1" operator="notEqual">
      <formula>$G$52</formula>
    </cfRule>
  </conditionalFormatting>
  <conditionalFormatting sqref="I30">
    <cfRule type="cellIs" dxfId="88" priority="5" operator="notEqual">
      <formula>$W$16</formula>
    </cfRule>
  </conditionalFormatting>
  <conditionalFormatting sqref="I20">
    <cfRule type="cellIs" dxfId="87" priority="9" operator="notEqual">
      <formula>$W$23</formula>
    </cfRule>
  </conditionalFormatting>
  <conditionalFormatting sqref="J20">
    <cfRule type="cellIs" dxfId="86" priority="8" operator="notEqual">
      <formula>$X$23</formula>
    </cfRule>
  </conditionalFormatting>
  <conditionalFormatting sqref="I21">
    <cfRule type="cellIs" dxfId="85" priority="7" operator="notEqual">
      <formula>$W$22</formula>
    </cfRule>
  </conditionalFormatting>
  <conditionalFormatting sqref="J21">
    <cfRule type="cellIs" dxfId="84" priority="6" operator="notEqual">
      <formula>$X$22</formula>
    </cfRule>
  </conditionalFormatting>
  <conditionalFormatting sqref="T19:T20 Y19 Z21:Z23 U20:U21 R17:S18 R21:S23 W17:X18 W21:X23">
    <cfRule type="cellIs" dxfId="83" priority="2" stopIfTrue="1" operator="lessThan">
      <formula>0</formula>
    </cfRule>
  </conditionalFormatting>
  <conditionalFormatting sqref="T19:T20 Y19:Y20 U20:U21 W21:W23 Z21:Z23 X22:X23">
    <cfRule type="cellIs" dxfId="82" priority="1" stopIfTrue="1" operator="lessThan">
      <formula>0</formula>
    </cfRule>
  </conditionalFormatting>
  <dataValidations count="11">
    <dataValidation type="decimal" allowBlank="1" showInputMessage="1" showErrorMessage="1" sqref="I17:J29">
      <formula1>-10000000000000</formula1>
      <formula2>990000000000000</formula2>
    </dataValidation>
    <dataValidation type="decimal" allowBlank="1" showInputMessage="1" showErrorMessage="1" sqref="E35:F39">
      <formula1>-100000000000</formula1>
      <formula2>99999999999999.9</formula2>
    </dataValidation>
    <dataValidation type="decimal" allowBlank="1" showInputMessage="1" showErrorMessage="1" sqref="E17:F29">
      <formula1>-1000000000000</formula1>
      <formula2>99999999999999.9</formula2>
    </dataValidation>
    <dataValidation type="list" allowBlank="1" showErrorMessage="1" errorTitle="Invalid Data" error="You must select a category from the list only." promptTitle="Please Select" sqref="B35:B39">
      <formula1>ListHIV</formula1>
    </dataValidation>
    <dataValidation type="list" allowBlank="1" showInputMessage="1" showErrorMessage="1" sqref="C6:D6 A7">
      <formula1>"Please Select …,USD,EURO"</formula1>
    </dataValidation>
    <dataValidation type="date" allowBlank="1" showInputMessage="1" sqref="G8:H9 K8:K9">
      <formula1>34700</formula1>
      <formula2>127472</formula2>
    </dataValidation>
    <dataValidation type="decimal" allowBlank="1" showInputMessage="1" showErrorMessage="1" sqref="I35:J39 I47:J51 D70:D74">
      <formula1>-1000000000000000</formula1>
      <formula2>99999999999999900</formula2>
    </dataValidation>
    <dataValidation type="decimal" allowBlank="1" showInputMessage="1" showErrorMessage="1" sqref="E47:F51">
      <formula1>-1000000000000</formula1>
      <formula2>99000000000000.9</formula2>
    </dataValidation>
    <dataValidation type="list" allowBlank="1" showErrorMessage="1" errorTitle="Invalid Data" error="You must select from the list only." sqref="B47:B51">
      <formula1>"Please Select …,PR,SR"</formula1>
    </dataValidation>
    <dataValidation type="list" allowBlank="1" showInputMessage="1" showErrorMessage="1" sqref="D47:D51 C70:C74">
      <formula1>List_IE</formula1>
    </dataValidation>
    <dataValidation type="list" allowBlank="1" showInputMessage="1" showErrorMessage="1" sqref="D35:D39">
      <formula1>HIVSDA</formula1>
    </dataValidation>
  </dataValidations>
  <pageMargins left="0.70866141732283472" right="0.70866141732283472" top="0.74803149606299213" bottom="0.74803149606299213" header="0.31496062992125984" footer="0.31496062992125984"/>
  <pageSetup paperSize="8" scale="45" fitToHeight="0" orientation="landscape" r:id="rId1"/>
  <legacyDrawing r:id="rId2"/>
</worksheet>
</file>

<file path=xl/worksheets/sheet7.xml><?xml version="1.0" encoding="utf-8"?>
<worksheet xmlns="http://schemas.openxmlformats.org/spreadsheetml/2006/main" xmlns:r="http://schemas.openxmlformats.org/officeDocument/2006/relationships">
  <sheetPr enableFormatConditionsCalculation="0">
    <tabColor indexed="11"/>
    <pageSetUpPr fitToPage="1"/>
  </sheetPr>
  <dimension ref="A1:L19"/>
  <sheetViews>
    <sheetView showGridLines="0" view="pageBreakPreview" zoomScale="70" zoomScaleNormal="75" zoomScaleSheetLayoutView="70" zoomScalePageLayoutView="75" workbookViewId="0">
      <selection activeCell="A14" sqref="A14:J14"/>
    </sheetView>
  </sheetViews>
  <sheetFormatPr defaultRowHeight="12.75"/>
  <cols>
    <col min="1" max="1" width="15" style="72" customWidth="1"/>
    <col min="2" max="2" width="45.42578125" style="72" customWidth="1"/>
    <col min="3" max="3" width="19.28515625" style="72" customWidth="1"/>
    <col min="4" max="4" width="23.28515625" style="72" customWidth="1"/>
    <col min="5" max="5" width="19.28515625" style="72" customWidth="1"/>
    <col min="6" max="6" width="17.140625" style="72" customWidth="1"/>
    <col min="7" max="7" width="25.85546875" style="72" customWidth="1"/>
    <col min="8" max="8" width="20" style="538" customWidth="1"/>
    <col min="9" max="9" width="19.28515625" style="72" customWidth="1"/>
    <col min="10" max="10" width="30" style="72" customWidth="1"/>
    <col min="11" max="11" width="5.7109375" style="72" customWidth="1"/>
    <col min="12" max="12" width="3.5703125" style="72" customWidth="1"/>
    <col min="13" max="16384" width="9.140625" style="72"/>
  </cols>
  <sheetData>
    <row r="1" spans="1:12" ht="25.5" customHeight="1">
      <c r="A1" s="1908" t="s">
        <v>413</v>
      </c>
      <c r="B1" s="1908"/>
      <c r="C1" s="1908"/>
      <c r="D1" s="1908"/>
      <c r="E1" s="1908"/>
      <c r="F1" s="1908"/>
      <c r="G1" s="1908"/>
      <c r="H1" s="1"/>
      <c r="I1" s="3"/>
      <c r="J1" s="3"/>
    </row>
    <row r="2" spans="1:12" s="63" customFormat="1" ht="27" customHeight="1" thickBot="1">
      <c r="A2" s="98" t="s">
        <v>507</v>
      </c>
      <c r="B2" s="10"/>
      <c r="C2" s="10"/>
      <c r="D2" s="36"/>
      <c r="E2" s="10"/>
      <c r="F2" s="10"/>
      <c r="G2" s="3"/>
      <c r="H2" s="11"/>
      <c r="I2" s="12"/>
      <c r="J2" s="12"/>
    </row>
    <row r="3" spans="1:12" s="73" customFormat="1" ht="28.5" customHeight="1" thickBot="1">
      <c r="A3" s="1787" t="s">
        <v>422</v>
      </c>
      <c r="B3" s="1815"/>
      <c r="C3" s="1788"/>
      <c r="D3" s="1817" t="str">
        <f>IF('PR_Programmatic Progress_1A'!C7="","",'PR_Programmatic Progress_1A'!C7)</f>
        <v>BTN-607-G03-H</v>
      </c>
      <c r="E3" s="1818"/>
      <c r="F3" s="1818"/>
      <c r="G3" s="1819"/>
      <c r="H3" s="4"/>
      <c r="I3" s="4"/>
      <c r="J3" s="4"/>
    </row>
    <row r="4" spans="1:12" s="73" customFormat="1" ht="15" customHeight="1">
      <c r="A4" s="492" t="s">
        <v>624</v>
      </c>
      <c r="B4" s="512"/>
      <c r="C4" s="512"/>
      <c r="D4" s="53" t="s">
        <v>630</v>
      </c>
      <c r="E4" s="504" t="str">
        <f>IF('PR_Programmatic Progress_1A'!D12="Select","",'PR_Programmatic Progress_1A'!D12)</f>
        <v>Quarter</v>
      </c>
      <c r="F4" s="5" t="s">
        <v>631</v>
      </c>
      <c r="G4" s="47">
        <f>IF('PR_Programmatic Progress_1A'!F12="Select","",'PR_Programmatic Progress_1A'!F12)</f>
        <v>16</v>
      </c>
      <c r="H4" s="4"/>
      <c r="I4" s="4"/>
      <c r="J4" s="4"/>
    </row>
    <row r="5" spans="1:12" s="73" customFormat="1" ht="15" customHeight="1">
      <c r="A5" s="513" t="s">
        <v>625</v>
      </c>
      <c r="B5" s="40"/>
      <c r="C5" s="40"/>
      <c r="D5" s="54" t="s">
        <v>593</v>
      </c>
      <c r="E5" s="519">
        <f>IF('PR_Programmatic Progress_1A'!D13="","",'PR_Programmatic Progress_1A'!D13)</f>
        <v>40848</v>
      </c>
      <c r="F5" s="5" t="s">
        <v>611</v>
      </c>
      <c r="G5" s="520">
        <f>IF('PR_Programmatic Progress_1A'!F13="","",'PR_Programmatic Progress_1A'!F13)</f>
        <v>40939</v>
      </c>
      <c r="H5" s="4"/>
      <c r="I5" s="4"/>
      <c r="J5" s="4"/>
    </row>
    <row r="6" spans="1:12" s="73" customFormat="1" ht="15" customHeight="1" thickBot="1">
      <c r="A6" s="55" t="s">
        <v>626</v>
      </c>
      <c r="B6" s="167"/>
      <c r="C6" s="41"/>
      <c r="D6" s="1830">
        <f>IF('PR_Programmatic Progress_1A'!C14="Select","",'PR_Programmatic Progress_1A'!C14)</f>
        <v>16</v>
      </c>
      <c r="E6" s="1831"/>
      <c r="F6" s="1831"/>
      <c r="G6" s="1832"/>
      <c r="H6" s="4"/>
      <c r="I6" s="4"/>
      <c r="J6" s="4"/>
    </row>
    <row r="7" spans="1:12" s="63" customFormat="1" ht="15.75" customHeight="1">
      <c r="A7" s="10"/>
      <c r="B7" s="10"/>
      <c r="C7" s="10"/>
      <c r="D7" s="36"/>
      <c r="E7" s="10"/>
      <c r="F7" s="12"/>
      <c r="G7" s="11"/>
      <c r="H7" s="10"/>
      <c r="I7" s="12"/>
      <c r="J7" s="13"/>
    </row>
    <row r="8" spans="1:12" s="753" customFormat="1" ht="27" customHeight="1" thickBot="1">
      <c r="A8" s="2038" t="s">
        <v>209</v>
      </c>
      <c r="B8" s="2038"/>
      <c r="C8" s="2038"/>
      <c r="D8" s="2038"/>
      <c r="E8" s="2038"/>
      <c r="F8" s="2038"/>
      <c r="G8" s="2038"/>
      <c r="H8" s="2038"/>
      <c r="I8" s="2038"/>
      <c r="J8" s="2038"/>
    </row>
    <row r="9" spans="1:12" s="63" customFormat="1" ht="34.5" customHeight="1" thickBot="1">
      <c r="A9" s="400"/>
      <c r="B9" s="401"/>
      <c r="C9" s="547"/>
      <c r="D9" s="547"/>
      <c r="E9" s="402"/>
      <c r="F9" s="548"/>
      <c r="G9" s="2035" t="s">
        <v>572</v>
      </c>
      <c r="H9" s="2036"/>
      <c r="I9" s="2036"/>
      <c r="J9" s="2037"/>
      <c r="K9" s="14"/>
    </row>
    <row r="10" spans="1:12" s="63" customFormat="1" ht="161.25" customHeight="1">
      <c r="A10" s="2042" t="s">
        <v>337</v>
      </c>
      <c r="B10" s="2043"/>
      <c r="C10" s="2043"/>
      <c r="D10" s="2043"/>
      <c r="E10" s="2043"/>
      <c r="F10" s="398" t="s">
        <v>366</v>
      </c>
      <c r="G10" s="2044" t="s">
        <v>716</v>
      </c>
      <c r="H10" s="2044"/>
      <c r="I10" s="2044"/>
      <c r="J10" s="2045"/>
      <c r="K10" s="14"/>
      <c r="L10" s="14"/>
    </row>
    <row r="11" spans="1:12" ht="194.25" customHeight="1" thickBot="1">
      <c r="A11" s="2046" t="s">
        <v>338</v>
      </c>
      <c r="B11" s="2047"/>
      <c r="C11" s="2047"/>
      <c r="D11" s="2047"/>
      <c r="E11" s="2047"/>
      <c r="F11" s="403" t="s">
        <v>366</v>
      </c>
      <c r="G11" s="2048" t="s">
        <v>720</v>
      </c>
      <c r="H11" s="2048"/>
      <c r="I11" s="2048"/>
      <c r="J11" s="2049"/>
    </row>
    <row r="12" spans="1:12" s="63" customFormat="1" ht="21.75" customHeight="1">
      <c r="A12" s="168"/>
      <c r="B12" s="549"/>
      <c r="C12" s="549"/>
      <c r="D12" s="549"/>
      <c r="E12" s="550"/>
      <c r="F12" s="551"/>
      <c r="G12" s="174"/>
      <c r="H12" s="186"/>
      <c r="I12" s="185"/>
      <c r="J12" s="527"/>
      <c r="K12" s="14"/>
      <c r="L12" s="14"/>
    </row>
    <row r="13" spans="1:12" ht="15.75" thickBot="1">
      <c r="A13" s="2050" t="s">
        <v>583</v>
      </c>
      <c r="B13" s="2050"/>
      <c r="C13" s="2050"/>
      <c r="D13" s="2050"/>
      <c r="E13" s="2050"/>
      <c r="F13" s="2050"/>
      <c r="G13" s="2050"/>
      <c r="H13" s="2050"/>
      <c r="I13" s="2050"/>
      <c r="J13" s="2050"/>
    </row>
    <row r="14" spans="1:12" ht="139.5" customHeight="1" thickBot="1">
      <c r="A14" s="2039" t="s">
        <v>721</v>
      </c>
      <c r="B14" s="2040"/>
      <c r="C14" s="2040"/>
      <c r="D14" s="2040"/>
      <c r="E14" s="2040"/>
      <c r="F14" s="2040"/>
      <c r="G14" s="2040"/>
      <c r="H14" s="2040"/>
      <c r="I14" s="2040"/>
      <c r="J14" s="2041"/>
    </row>
    <row r="15" spans="1:12" ht="17.25" customHeight="1">
      <c r="A15" s="552"/>
      <c r="B15" s="552"/>
      <c r="C15" s="552"/>
      <c r="D15" s="552"/>
      <c r="E15" s="552"/>
      <c r="F15" s="552"/>
      <c r="G15" s="3"/>
      <c r="H15" s="16"/>
      <c r="I15" s="3"/>
      <c r="J15" s="3"/>
    </row>
    <row r="18" spans="2:2">
      <c r="B18" s="755"/>
    </row>
    <row r="19" spans="2:2" ht="18" customHeight="1"/>
  </sheetData>
  <sheetProtection password="92D1" sheet="1" formatCells="0" formatColumns="0" formatRows="0"/>
  <mergeCells count="12">
    <mergeCell ref="A14:J14"/>
    <mergeCell ref="A10:E10"/>
    <mergeCell ref="G10:J10"/>
    <mergeCell ref="A11:E11"/>
    <mergeCell ref="G11:J11"/>
    <mergeCell ref="A13:J13"/>
    <mergeCell ref="G9:J9"/>
    <mergeCell ref="A1:G1"/>
    <mergeCell ref="A3:C3"/>
    <mergeCell ref="D3:G3"/>
    <mergeCell ref="D6:G6"/>
    <mergeCell ref="A8:J8"/>
  </mergeCells>
  <phoneticPr fontId="37" type="noConversion"/>
  <conditionalFormatting sqref="E9">
    <cfRule type="cellIs" dxfId="81" priority="1" stopIfTrue="1" operator="lessThan">
      <formula>0</formula>
    </cfRule>
  </conditionalFormatting>
  <dataValidations count="3">
    <dataValidation type="list" allowBlank="1" showInputMessage="1" showErrorMessage="1" sqref="F15 F10:F12">
      <formula1>"Select,Yes,No,N/A"</formula1>
    </dataValidation>
    <dataValidation type="list" allowBlank="1" showInputMessage="1" showErrorMessage="1" sqref="C2:F2">
      <formula1>"Select,USD,EUR"</formula1>
    </dataValidation>
    <dataValidation allowBlank="1" showInputMessage="1" sqref="F9"/>
  </dataValidations>
  <printOptions horizontalCentered="1"/>
  <pageMargins left="0.74803149606299213" right="0.74803149606299213" top="0.59055118110236227" bottom="0.59055118110236227" header="0.51181102362204722" footer="0.51181102362204722"/>
  <pageSetup paperSize="9" scale="54" fitToHeight="0" orientation="landscape" cellComments="asDisplayed" r:id="rId1"/>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M35"/>
  <sheetViews>
    <sheetView view="pageBreakPreview" zoomScale="70" zoomScaleNormal="75" zoomScaleSheetLayoutView="70" workbookViewId="0">
      <selection activeCell="J19" sqref="J19"/>
    </sheetView>
  </sheetViews>
  <sheetFormatPr defaultRowHeight="12.75"/>
  <cols>
    <col min="1" max="1" width="14.85546875" style="69" customWidth="1"/>
    <col min="2" max="2" width="19.85546875" style="69" customWidth="1"/>
    <col min="3" max="3" width="17.42578125" style="69" customWidth="1"/>
    <col min="4" max="4" width="19.42578125" style="69" customWidth="1"/>
    <col min="5" max="5" width="14.85546875" style="69" customWidth="1"/>
    <col min="6" max="6" width="19.28515625" style="69" customWidth="1"/>
    <col min="7" max="7" width="14.5703125" style="69" customWidth="1"/>
    <col min="8" max="8" width="30.28515625" style="69" customWidth="1"/>
    <col min="9" max="9" width="20.7109375" style="69" customWidth="1"/>
    <col min="10" max="10" width="3.42578125" style="69" customWidth="1"/>
    <col min="11" max="11" width="20.7109375" style="69" customWidth="1"/>
    <col min="12" max="12" width="8.140625" style="69" customWidth="1"/>
    <col min="13" max="13" width="16" style="69" customWidth="1"/>
    <col min="14" max="16384" width="9.140625" style="69"/>
  </cols>
  <sheetData>
    <row r="1" spans="1:13" ht="25.5" customHeight="1">
      <c r="A1" s="2057" t="s">
        <v>413</v>
      </c>
      <c r="B1" s="2057"/>
      <c r="C1" s="2057"/>
      <c r="D1" s="2057"/>
      <c r="E1" s="2057"/>
      <c r="F1" s="2057"/>
      <c r="G1" s="2057"/>
      <c r="H1" s="2057"/>
      <c r="I1" s="297"/>
      <c r="J1" s="286"/>
      <c r="K1" s="300"/>
      <c r="L1" s="301"/>
      <c r="M1" s="553"/>
    </row>
    <row r="2" spans="1:13" s="14" customFormat="1" ht="27" customHeight="1" thickBot="1">
      <c r="A2" s="98" t="s">
        <v>508</v>
      </c>
      <c r="B2" s="10"/>
      <c r="C2" s="10"/>
      <c r="D2" s="283"/>
      <c r="E2" s="284"/>
      <c r="F2" s="284"/>
      <c r="G2" s="10"/>
      <c r="H2" s="285"/>
      <c r="I2" s="298"/>
      <c r="J2" s="302"/>
      <c r="K2" s="302"/>
      <c r="L2" s="302"/>
      <c r="M2" s="1201"/>
    </row>
    <row r="3" spans="1:13" s="220" customFormat="1" ht="28.5" customHeight="1" thickBot="1">
      <c r="A3" s="1787" t="s">
        <v>422</v>
      </c>
      <c r="B3" s="1815"/>
      <c r="C3" s="1788"/>
      <c r="D3" s="1817" t="str">
        <f>IF('PR_Programmatic Progress_1A'!C7="","",'PR_Programmatic Progress_1A'!C7)</f>
        <v>BTN-607-G03-H</v>
      </c>
      <c r="E3" s="1818"/>
      <c r="F3" s="1818"/>
      <c r="G3" s="1819"/>
      <c r="H3" s="2066" t="s">
        <v>642</v>
      </c>
      <c r="I3" s="2067"/>
      <c r="J3" s="2067"/>
      <c r="K3" s="2067"/>
      <c r="L3" s="2068"/>
      <c r="M3" s="197"/>
    </row>
    <row r="4" spans="1:13" s="220" customFormat="1" ht="15" customHeight="1">
      <c r="A4" s="492" t="s">
        <v>624</v>
      </c>
      <c r="B4" s="512"/>
      <c r="C4" s="512"/>
      <c r="D4" s="53" t="s">
        <v>630</v>
      </c>
      <c r="E4" s="504" t="str">
        <f>IF('PR_Programmatic Progress_1A'!D12="Select","",'PR_Programmatic Progress_1A'!D12)</f>
        <v>Quarter</v>
      </c>
      <c r="F4" s="5" t="s">
        <v>631</v>
      </c>
      <c r="G4" s="47">
        <f>IF('PR_Programmatic Progress_1A'!F12="Select","",'PR_Programmatic Progress_1A'!F12)</f>
        <v>16</v>
      </c>
      <c r="H4" s="2069"/>
      <c r="I4" s="2070"/>
      <c r="J4" s="2070"/>
      <c r="K4" s="2070"/>
      <c r="L4" s="2071"/>
      <c r="M4" s="197"/>
    </row>
    <row r="5" spans="1:13" s="220" customFormat="1" ht="15" customHeight="1">
      <c r="A5" s="513" t="s">
        <v>625</v>
      </c>
      <c r="B5" s="40"/>
      <c r="C5" s="40"/>
      <c r="D5" s="54" t="s">
        <v>593</v>
      </c>
      <c r="E5" s="519">
        <f>IF('PR_Programmatic Progress_1A'!D13="","",'PR_Programmatic Progress_1A'!D13)</f>
        <v>40848</v>
      </c>
      <c r="F5" s="5" t="s">
        <v>611</v>
      </c>
      <c r="G5" s="520">
        <f>IF('PR_Programmatic Progress_1A'!F13="","",'PR_Programmatic Progress_1A'!F13)</f>
        <v>40939</v>
      </c>
      <c r="H5" s="2072"/>
      <c r="I5" s="2073"/>
      <c r="J5" s="2073"/>
      <c r="K5" s="2073"/>
      <c r="L5" s="2074"/>
      <c r="M5" s="197"/>
    </row>
    <row r="6" spans="1:13" s="220" customFormat="1" ht="15" customHeight="1" thickBot="1">
      <c r="A6" s="55" t="s">
        <v>626</v>
      </c>
      <c r="B6" s="167"/>
      <c r="C6" s="41"/>
      <c r="D6" s="1830">
        <f>IF('PR_Programmatic Progress_1A'!C14="Select","",'PR_Programmatic Progress_1A'!C14)</f>
        <v>16</v>
      </c>
      <c r="E6" s="1831"/>
      <c r="F6" s="1831"/>
      <c r="G6" s="1832"/>
      <c r="H6" s="1245"/>
      <c r="I6" s="758"/>
      <c r="J6" s="1246"/>
      <c r="K6" s="1246"/>
      <c r="L6" s="1246"/>
      <c r="M6" s="758"/>
    </row>
    <row r="7" spans="1:13" s="73" customFormat="1" ht="15" customHeight="1" thickBot="1">
      <c r="A7" s="1233" t="s">
        <v>592</v>
      </c>
      <c r="B7" s="1234"/>
      <c r="C7" s="1236"/>
      <c r="D7" s="1918" t="str">
        <f>IF('PR_Programmatic Progress_1A'!C10="Select","",'PR_Programmatic Progress_1A'!C10)</f>
        <v>USD</v>
      </c>
      <c r="E7" s="1919"/>
      <c r="F7" s="1919"/>
      <c r="G7" s="1920"/>
    </row>
    <row r="8" spans="1:13" ht="27.75" customHeight="1">
      <c r="A8" s="294"/>
      <c r="B8" s="295"/>
      <c r="C8" s="295"/>
      <c r="D8" s="294"/>
      <c r="E8" s="295"/>
      <c r="F8" s="7"/>
      <c r="G8" s="292"/>
      <c r="H8" s="232"/>
      <c r="I8" s="1247"/>
      <c r="J8" s="1248"/>
      <c r="K8" s="232"/>
      <c r="L8" s="1249"/>
      <c r="M8" s="756"/>
    </row>
    <row r="9" spans="1:13" ht="33.75" customHeight="1" thickBot="1">
      <c r="A9" s="165" t="s">
        <v>210</v>
      </c>
      <c r="B9" s="296"/>
      <c r="C9" s="296"/>
      <c r="D9" s="166"/>
      <c r="E9" s="1317"/>
      <c r="F9" s="1318"/>
      <c r="G9" s="290"/>
      <c r="H9" s="288"/>
      <c r="I9" s="6"/>
      <c r="J9" s="290"/>
      <c r="K9" s="290"/>
      <c r="L9" s="290"/>
      <c r="M9" s="1202"/>
    </row>
    <row r="10" spans="1:13" s="754" customFormat="1" ht="26.25" customHeight="1" thickBot="1">
      <c r="A10" s="2059" t="s">
        <v>603</v>
      </c>
      <c r="B10" s="2060"/>
      <c r="C10" s="2060"/>
      <c r="D10" s="2060"/>
      <c r="E10" s="2060"/>
      <c r="F10" s="2060"/>
      <c r="G10" s="2060"/>
      <c r="H10" s="2060"/>
      <c r="I10" s="2060"/>
      <c r="J10" s="2060"/>
      <c r="K10" s="2060"/>
      <c r="L10" s="2060"/>
      <c r="M10" s="2060"/>
    </row>
    <row r="11" spans="1:13" s="754" customFormat="1" ht="26.25" customHeight="1">
      <c r="A11" s="2061"/>
      <c r="B11" s="2062"/>
      <c r="C11" s="2062"/>
      <c r="D11" s="2062"/>
      <c r="E11" s="2062"/>
      <c r="F11" s="2062"/>
      <c r="G11" s="2062"/>
      <c r="H11" s="2062"/>
      <c r="I11" s="2062"/>
      <c r="J11" s="2062"/>
      <c r="K11" s="2062"/>
      <c r="L11" s="2062"/>
      <c r="M11" s="2062"/>
    </row>
    <row r="12" spans="1:13" s="754" customFormat="1" ht="18" customHeight="1">
      <c r="A12" s="2063" t="s">
        <v>238</v>
      </c>
      <c r="B12" s="2064"/>
      <c r="C12" s="2064"/>
      <c r="D12" s="2064"/>
      <c r="E12" s="2064"/>
      <c r="F12" s="2064"/>
      <c r="G12" s="2064"/>
      <c r="H12" s="2064"/>
      <c r="I12" s="2065"/>
      <c r="J12" s="501"/>
      <c r="K12" s="501"/>
      <c r="L12" s="501"/>
      <c r="M12" s="1203"/>
    </row>
    <row r="13" spans="1:13" s="754" customFormat="1" ht="24" customHeight="1" thickBot="1">
      <c r="A13" s="693"/>
      <c r="B13" s="515"/>
      <c r="C13" s="515"/>
      <c r="D13" s="515"/>
      <c r="E13" s="515"/>
      <c r="F13" s="515"/>
      <c r="G13" s="515"/>
      <c r="H13" s="515"/>
      <c r="I13" s="515"/>
      <c r="J13" s="515"/>
      <c r="K13" s="404"/>
      <c r="L13" s="404"/>
      <c r="M13" s="1523">
        <v>14553.74</v>
      </c>
    </row>
    <row r="14" spans="1:13" s="754" customFormat="1" ht="26.25" customHeight="1" thickTop="1">
      <c r="A14" s="190"/>
      <c r="B14" s="260"/>
      <c r="C14" s="306"/>
      <c r="D14" s="260"/>
      <c r="E14" s="305"/>
      <c r="F14" s="259"/>
      <c r="G14" s="305"/>
      <c r="H14" s="305"/>
      <c r="I14" s="305"/>
      <c r="J14" s="256"/>
      <c r="K14" s="405"/>
      <c r="L14" s="406"/>
      <c r="M14" s="407"/>
    </row>
    <row r="15" spans="1:13" s="754" customFormat="1" ht="26.25" customHeight="1">
      <c r="A15" s="390" t="s">
        <v>604</v>
      </c>
      <c r="B15" s="257" t="s">
        <v>406</v>
      </c>
      <c r="C15" s="257"/>
      <c r="D15" s="257"/>
      <c r="E15" s="256"/>
      <c r="F15" s="1208"/>
      <c r="G15" s="256"/>
      <c r="H15" s="256"/>
      <c r="I15" s="256"/>
      <c r="J15" s="256"/>
      <c r="K15" s="428">
        <v>286195</v>
      </c>
      <c r="L15" s="406"/>
      <c r="M15" s="1205"/>
    </row>
    <row r="16" spans="1:13" s="754" customFormat="1" ht="26.25" customHeight="1">
      <c r="A16" s="366"/>
      <c r="B16" s="1256" t="s">
        <v>102</v>
      </c>
      <c r="C16" s="1256"/>
      <c r="D16" s="1256"/>
      <c r="E16" s="1257"/>
      <c r="F16" s="342"/>
      <c r="G16" s="1258"/>
      <c r="H16" s="340"/>
      <c r="I16" s="340"/>
      <c r="J16" s="340"/>
      <c r="K16" s="885">
        <v>0</v>
      </c>
      <c r="L16" s="406"/>
      <c r="M16" s="1206"/>
    </row>
    <row r="17" spans="1:13" s="754" customFormat="1" ht="26.25" customHeight="1">
      <c r="A17" s="502"/>
      <c r="B17" s="257" t="s">
        <v>166</v>
      </c>
      <c r="C17" s="257"/>
      <c r="D17" s="257"/>
      <c r="E17" s="258"/>
      <c r="F17" s="1209"/>
      <c r="G17" s="258"/>
      <c r="H17" s="256"/>
      <c r="I17" s="256"/>
      <c r="J17" s="256"/>
      <c r="K17" s="885"/>
      <c r="L17" s="406"/>
      <c r="M17" s="807"/>
    </row>
    <row r="18" spans="1:13" s="754" customFormat="1" ht="26.25" customHeight="1">
      <c r="A18" s="502"/>
      <c r="B18" s="257" t="s">
        <v>167</v>
      </c>
      <c r="C18" s="257"/>
      <c r="D18" s="257"/>
      <c r="E18" s="258"/>
      <c r="F18" s="258"/>
      <c r="G18" s="258"/>
      <c r="H18" s="256"/>
      <c r="I18" s="256"/>
      <c r="J18" s="256"/>
      <c r="K18" s="885">
        <v>0</v>
      </c>
      <c r="L18" s="406"/>
      <c r="M18" s="808"/>
    </row>
    <row r="19" spans="1:13" s="754" customFormat="1" ht="26.25" customHeight="1" thickBot="1">
      <c r="A19" s="502"/>
      <c r="B19" s="339" t="s">
        <v>398</v>
      </c>
      <c r="C19" s="257"/>
      <c r="D19" s="257"/>
      <c r="E19" s="258"/>
      <c r="F19" s="258"/>
      <c r="G19" s="258"/>
      <c r="H19" s="256"/>
      <c r="I19" s="256"/>
      <c r="J19" s="256"/>
      <c r="K19" s="1204"/>
      <c r="L19" s="406"/>
      <c r="M19" s="409">
        <f>+K15+K16+K17+K18+K19</f>
        <v>286195</v>
      </c>
    </row>
    <row r="20" spans="1:13" s="754" customFormat="1" ht="26.25" customHeight="1" thickTop="1">
      <c r="A20" s="694"/>
      <c r="B20" s="695"/>
      <c r="C20" s="694"/>
      <c r="D20" s="695"/>
      <c r="E20" s="696"/>
      <c r="F20" s="696"/>
      <c r="G20" s="697"/>
      <c r="H20" s="698"/>
      <c r="I20" s="699"/>
      <c r="J20" s="256"/>
      <c r="K20" s="410"/>
      <c r="L20" s="406"/>
      <c r="M20" s="411"/>
    </row>
    <row r="21" spans="1:13" s="754" customFormat="1" ht="26.25" customHeight="1">
      <c r="A21" s="189"/>
      <c r="B21" s="313"/>
      <c r="C21" s="307"/>
      <c r="D21" s="307"/>
      <c r="E21" s="309"/>
      <c r="F21" s="307"/>
      <c r="G21" s="312"/>
      <c r="H21" s="307"/>
      <c r="I21" s="311"/>
      <c r="J21" s="252"/>
      <c r="K21" s="412"/>
      <c r="L21" s="413"/>
      <c r="M21" s="414"/>
    </row>
    <row r="22" spans="1:13" s="754" customFormat="1" ht="26.25" customHeight="1">
      <c r="A22" s="502" t="s">
        <v>605</v>
      </c>
      <c r="B22" s="2058" t="s">
        <v>408</v>
      </c>
      <c r="C22" s="2058"/>
      <c r="D22" s="2058"/>
      <c r="E22" s="2058"/>
      <c r="F22" s="2058"/>
      <c r="G22" s="2058"/>
      <c r="H22" s="2058"/>
      <c r="I22" s="2058"/>
      <c r="J22" s="256"/>
      <c r="K22" s="1524">
        <f>IF('PR_Total PR Cash Outflow_3A'!D12="","",'PR_Total PR Cash Outflow_3A'!D12)</f>
        <v>128493.31</v>
      </c>
      <c r="L22" s="406"/>
      <c r="M22" s="738"/>
    </row>
    <row r="23" spans="1:13" s="754" customFormat="1" ht="26.25" customHeight="1">
      <c r="A23" s="341"/>
      <c r="B23" s="339" t="s">
        <v>399</v>
      </c>
      <c r="C23" s="339"/>
      <c r="D23" s="339"/>
      <c r="E23" s="342"/>
      <c r="F23" s="342"/>
      <c r="G23" s="343"/>
      <c r="H23" s="344"/>
      <c r="I23" s="345"/>
      <c r="J23" s="340"/>
      <c r="K23" s="408"/>
      <c r="L23" s="417"/>
      <c r="M23" s="739"/>
    </row>
    <row r="24" spans="1:13" s="754" customFormat="1" ht="26.25" customHeight="1">
      <c r="A24" s="737"/>
      <c r="B24" s="339" t="s">
        <v>484</v>
      </c>
      <c r="C24" s="339"/>
      <c r="D24" s="339"/>
      <c r="E24" s="342"/>
      <c r="F24" s="342"/>
      <c r="G24" s="342"/>
      <c r="H24" s="1259"/>
      <c r="I24" s="1260"/>
      <c r="J24" s="340"/>
      <c r="K24" s="893"/>
      <c r="L24" s="417"/>
      <c r="M24" s="1525">
        <f>+K22+K23+K24</f>
        <v>128493.31</v>
      </c>
    </row>
    <row r="25" spans="1:13" s="754" customFormat="1" ht="26.25" customHeight="1">
      <c r="A25" s="700"/>
      <c r="B25" s="175"/>
      <c r="C25" s="701"/>
      <c r="D25" s="175"/>
      <c r="E25" s="701"/>
      <c r="F25" s="702"/>
      <c r="G25" s="175"/>
      <c r="H25" s="703"/>
      <c r="I25" s="704"/>
      <c r="J25" s="252"/>
      <c r="K25" s="418"/>
      <c r="L25" s="413"/>
      <c r="M25" s="1526"/>
    </row>
    <row r="26" spans="1:13" s="754" customFormat="1" ht="26.25" customHeight="1" thickBot="1">
      <c r="A26" s="310" t="s">
        <v>485</v>
      </c>
      <c r="B26" s="309"/>
      <c r="C26" s="309"/>
      <c r="D26" s="309"/>
      <c r="E26" s="313"/>
      <c r="F26" s="313"/>
      <c r="G26" s="313"/>
      <c r="H26" s="313"/>
      <c r="I26" s="307"/>
      <c r="J26" s="252"/>
      <c r="K26" s="413"/>
      <c r="L26" s="413"/>
      <c r="M26" s="1527">
        <f>M13+M19-M24</f>
        <v>172255.43</v>
      </c>
    </row>
    <row r="27" spans="1:13" s="754" customFormat="1" ht="19.5" customHeight="1" thickTop="1">
      <c r="A27" s="175"/>
      <c r="B27" s="251"/>
      <c r="C27" s="251"/>
      <c r="D27" s="247"/>
      <c r="E27" s="248"/>
      <c r="F27" s="248"/>
      <c r="G27" s="248"/>
      <c r="H27" s="248"/>
      <c r="I27" s="251"/>
      <c r="J27" s="175"/>
      <c r="K27" s="251"/>
      <c r="L27" s="248"/>
      <c r="M27" s="308"/>
    </row>
    <row r="28" spans="1:13" ht="15.75">
      <c r="A28" s="1261" t="s">
        <v>486</v>
      </c>
      <c r="B28" s="1249"/>
      <c r="C28" s="1249"/>
      <c r="D28" s="1249"/>
      <c r="E28" s="1249"/>
      <c r="F28" s="1249"/>
      <c r="G28" s="1249"/>
      <c r="H28" s="1249"/>
      <c r="I28" s="1262"/>
      <c r="J28" s="1249"/>
      <c r="K28" s="614"/>
      <c r="L28" s="614"/>
      <c r="M28" s="1263"/>
    </row>
    <row r="29" spans="1:13" ht="21.75" customHeight="1">
      <c r="A29" s="740" t="s">
        <v>339</v>
      </c>
      <c r="B29" s="555"/>
      <c r="C29" s="555"/>
      <c r="D29" s="555"/>
      <c r="E29" s="555"/>
      <c r="F29" s="555"/>
      <c r="G29" s="555"/>
      <c r="H29" s="555"/>
      <c r="I29" s="558"/>
      <c r="J29" s="555"/>
      <c r="K29" s="809"/>
      <c r="L29" s="809"/>
      <c r="M29" s="1207"/>
    </row>
    <row r="30" spans="1:13">
      <c r="A30" s="2051"/>
      <c r="B30" s="2052"/>
      <c r="C30" s="2052"/>
      <c r="D30" s="2052"/>
      <c r="E30" s="2052"/>
      <c r="F30" s="2052"/>
      <c r="G30" s="2052"/>
      <c r="H30" s="2052"/>
      <c r="I30" s="2052"/>
      <c r="J30" s="2052"/>
      <c r="K30" s="2052"/>
      <c r="L30" s="2052"/>
      <c r="M30" s="2052"/>
    </row>
    <row r="31" spans="1:13">
      <c r="A31" s="2053"/>
      <c r="B31" s="2054"/>
      <c r="C31" s="2054"/>
      <c r="D31" s="2054"/>
      <c r="E31" s="2054"/>
      <c r="F31" s="2054"/>
      <c r="G31" s="2054"/>
      <c r="H31" s="2054"/>
      <c r="I31" s="2054"/>
      <c r="J31" s="2054"/>
      <c r="K31" s="2054"/>
      <c r="L31" s="2054"/>
      <c r="M31" s="2054"/>
    </row>
    <row r="32" spans="1:13" ht="45.75" customHeight="1">
      <c r="A32" s="2055"/>
      <c r="B32" s="2056"/>
      <c r="C32" s="2056"/>
      <c r="D32" s="2056"/>
      <c r="E32" s="2056"/>
      <c r="F32" s="2056"/>
      <c r="G32" s="2056"/>
      <c r="H32" s="2056"/>
      <c r="I32" s="2056"/>
      <c r="J32" s="2056"/>
      <c r="K32" s="2056"/>
      <c r="L32" s="2056"/>
      <c r="M32" s="2056"/>
    </row>
    <row r="33" spans="1:13">
      <c r="A33" s="1210"/>
      <c r="B33" s="1210"/>
      <c r="C33" s="1210"/>
      <c r="D33" s="1210"/>
      <c r="E33" s="1210"/>
      <c r="F33" s="1210"/>
      <c r="G33" s="1210"/>
      <c r="H33" s="1210"/>
      <c r="I33" s="1211"/>
      <c r="J33" s="1210"/>
      <c r="K33" s="1210"/>
      <c r="L33" s="1210"/>
      <c r="M33" s="1212"/>
    </row>
    <row r="34" spans="1:13">
      <c r="A34" s="2"/>
      <c r="B34" s="2"/>
      <c r="C34" s="2"/>
      <c r="D34" s="2"/>
      <c r="E34" s="2"/>
      <c r="F34" s="2"/>
      <c r="G34" s="2"/>
      <c r="H34" s="2"/>
      <c r="I34" s="2"/>
      <c r="J34" s="2"/>
      <c r="K34" s="2"/>
      <c r="L34" s="2"/>
      <c r="M34" s="2"/>
    </row>
    <row r="35" spans="1:13">
      <c r="A35" s="2"/>
      <c r="B35" s="2"/>
      <c r="C35" s="2"/>
      <c r="D35" s="2"/>
      <c r="E35" s="2"/>
      <c r="F35" s="2"/>
      <c r="G35" s="2"/>
      <c r="H35" s="2"/>
      <c r="I35" s="2"/>
      <c r="J35" s="2"/>
      <c r="K35" s="2"/>
      <c r="L35" s="2"/>
      <c r="M35" s="2"/>
    </row>
  </sheetData>
  <sheetProtection password="92D1" sheet="1" formatCells="0" formatColumns="0" formatRows="0"/>
  <mergeCells count="11">
    <mergeCell ref="A30:M32"/>
    <mergeCell ref="A1:H1"/>
    <mergeCell ref="A3:C3"/>
    <mergeCell ref="B22:I22"/>
    <mergeCell ref="A10:M10"/>
    <mergeCell ref="A11:M11"/>
    <mergeCell ref="D3:G3"/>
    <mergeCell ref="D6:G6"/>
    <mergeCell ref="A12:I12"/>
    <mergeCell ref="D7:G7"/>
    <mergeCell ref="H3:L5"/>
  </mergeCells>
  <phoneticPr fontId="37" type="noConversion"/>
  <dataValidations count="1">
    <dataValidation type="list" allowBlank="1" showInputMessage="1" showErrorMessage="1" sqref="C2:G2">
      <formula1>"Select,USD,EUR"</formula1>
    </dataValidation>
  </dataValidations>
  <printOptions horizontalCentered="1"/>
  <pageMargins left="0.74803149606299213" right="0.74803149606299213" top="0.59055118110236227" bottom="0.59055118110236227" header="0.51181102362204722" footer="0.51181102362204722"/>
  <pageSetup paperSize="9" scale="60" fitToHeight="0" orientation="landscape" cellComments="asDisplayed"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sheetPr enableFormatConditionsCalculation="0">
    <tabColor indexed="11"/>
    <pageSetUpPr fitToPage="1"/>
  </sheetPr>
  <dimension ref="A1:T80"/>
  <sheetViews>
    <sheetView showGridLines="0" view="pageBreakPreview" topLeftCell="A34" zoomScale="70" zoomScaleNormal="60" zoomScaleSheetLayoutView="70" zoomScalePageLayoutView="80" workbookViewId="0">
      <selection activeCell="K18" sqref="K18"/>
    </sheetView>
  </sheetViews>
  <sheetFormatPr defaultRowHeight="12.75"/>
  <cols>
    <col min="1" max="1" width="14.85546875" style="72" customWidth="1"/>
    <col min="2" max="2" width="29" style="72" customWidth="1"/>
    <col min="3" max="3" width="6.140625" style="72" customWidth="1"/>
    <col min="4" max="4" width="2.42578125" style="72" customWidth="1"/>
    <col min="5" max="5" width="17.42578125" style="72" customWidth="1"/>
    <col min="6" max="6" width="21.5703125" style="72" bestFit="1" customWidth="1"/>
    <col min="7" max="7" width="14.85546875" style="72" customWidth="1"/>
    <col min="8" max="8" width="19.28515625" style="72" customWidth="1"/>
    <col min="9" max="9" width="18" style="72" customWidth="1"/>
    <col min="10" max="10" width="32.85546875" style="72" customWidth="1"/>
    <col min="11" max="11" width="15.7109375" style="72" customWidth="1"/>
    <col min="12" max="12" width="22.5703125" style="72" customWidth="1"/>
    <col min="13" max="13" width="3.42578125" style="72" customWidth="1"/>
    <col min="14" max="14" width="16" style="72" customWidth="1"/>
    <col min="15" max="17" width="16" style="72" hidden="1" customWidth="1"/>
    <col min="18" max="18" width="7" style="72" customWidth="1"/>
    <col min="19" max="19" width="20.7109375" style="72" customWidth="1"/>
    <col min="20" max="20" width="9.85546875" style="72" customWidth="1"/>
    <col min="21" max="16384" width="9.140625" style="69"/>
  </cols>
  <sheetData>
    <row r="1" spans="1:20" ht="25.5" customHeight="1">
      <c r="A1" s="2057" t="s">
        <v>413</v>
      </c>
      <c r="B1" s="2057"/>
      <c r="C1" s="2057"/>
      <c r="D1" s="2057"/>
      <c r="E1" s="2057"/>
      <c r="F1" s="2057"/>
      <c r="G1" s="2057"/>
      <c r="H1" s="2057"/>
      <c r="I1" s="2057"/>
      <c r="J1" s="2057"/>
      <c r="K1" s="297"/>
      <c r="L1" s="286"/>
      <c r="M1" s="286"/>
      <c r="N1" s="300"/>
      <c r="O1" s="300"/>
      <c r="P1" s="300"/>
      <c r="Q1" s="300"/>
      <c r="R1" s="301"/>
      <c r="S1" s="301"/>
      <c r="T1" s="756"/>
    </row>
    <row r="2" spans="1:20" s="14" customFormat="1" ht="27" customHeight="1" thickBot="1">
      <c r="A2" s="98" t="s">
        <v>508</v>
      </c>
      <c r="B2" s="10"/>
      <c r="C2" s="10"/>
      <c r="D2" s="10"/>
      <c r="E2" s="10"/>
      <c r="F2" s="283"/>
      <c r="G2" s="284"/>
      <c r="H2" s="284"/>
      <c r="I2" s="10"/>
      <c r="J2" s="285"/>
      <c r="K2" s="298"/>
      <c r="L2" s="302"/>
      <c r="M2" s="302"/>
      <c r="N2" s="302"/>
      <c r="O2" s="302"/>
      <c r="P2" s="302"/>
      <c r="Q2" s="302"/>
      <c r="R2" s="302"/>
      <c r="S2" s="302"/>
      <c r="T2" s="757"/>
    </row>
    <row r="3" spans="1:20" s="220" customFormat="1" ht="28.5" customHeight="1" thickBot="1">
      <c r="A3" s="1787" t="s">
        <v>422</v>
      </c>
      <c r="B3" s="1815"/>
      <c r="C3" s="1815"/>
      <c r="D3" s="1815"/>
      <c r="E3" s="1788"/>
      <c r="F3" s="1817" t="str">
        <f>IF('PR_Programmatic Progress_1A'!C7="","",'PR_Programmatic Progress_1A'!C7)</f>
        <v>BTN-607-G03-H</v>
      </c>
      <c r="G3" s="1818"/>
      <c r="H3" s="1818"/>
      <c r="I3" s="1819"/>
      <c r="J3" s="195"/>
      <c r="K3" s="197"/>
      <c r="L3" s="199"/>
      <c r="M3" s="199"/>
      <c r="N3" s="199"/>
      <c r="O3" s="199"/>
      <c r="P3" s="199"/>
      <c r="Q3" s="199"/>
      <c r="R3" s="199"/>
      <c r="S3" s="199"/>
      <c r="T3" s="758"/>
    </row>
    <row r="4" spans="1:20" s="220" customFormat="1" ht="15" customHeight="1">
      <c r="A4" s="492" t="s">
        <v>624</v>
      </c>
      <c r="B4" s="512"/>
      <c r="C4" s="512"/>
      <c r="D4" s="512"/>
      <c r="E4" s="512"/>
      <c r="F4" s="53" t="s">
        <v>630</v>
      </c>
      <c r="G4" s="504" t="str">
        <f>IF('PR_Programmatic Progress_1A'!D12="Select","",'PR_Programmatic Progress_1A'!D12)</f>
        <v>Quarter</v>
      </c>
      <c r="H4" s="5" t="s">
        <v>631</v>
      </c>
      <c r="I4" s="47">
        <f>IF('PR_Programmatic Progress_1A'!F12="Select","",'PR_Programmatic Progress_1A'!F12)</f>
        <v>16</v>
      </c>
      <c r="J4" s="196"/>
      <c r="K4" s="197"/>
      <c r="L4" s="199"/>
      <c r="M4" s="199"/>
      <c r="N4" s="199"/>
      <c r="O4" s="199"/>
      <c r="P4" s="199"/>
      <c r="Q4" s="199"/>
      <c r="R4" s="199"/>
      <c r="S4" s="199"/>
      <c r="T4" s="758"/>
    </row>
    <row r="5" spans="1:20" s="220" customFormat="1" ht="15" customHeight="1">
      <c r="A5" s="513" t="s">
        <v>625</v>
      </c>
      <c r="B5" s="40"/>
      <c r="C5" s="40"/>
      <c r="D5" s="40"/>
      <c r="E5" s="40"/>
      <c r="F5" s="54" t="s">
        <v>593</v>
      </c>
      <c r="G5" s="519">
        <f>IF('PR_Programmatic Progress_1A'!D13="","",'PR_Programmatic Progress_1A'!D13)</f>
        <v>40848</v>
      </c>
      <c r="H5" s="5" t="s">
        <v>611</v>
      </c>
      <c r="I5" s="520">
        <f>IF('PR_Programmatic Progress_1A'!F13="","",'PR_Programmatic Progress_1A'!F13)</f>
        <v>40939</v>
      </c>
      <c r="J5" s="196"/>
      <c r="K5" s="197"/>
      <c r="L5" s="199"/>
      <c r="M5" s="199"/>
      <c r="N5" s="199"/>
      <c r="O5" s="199"/>
      <c r="P5" s="199"/>
      <c r="Q5" s="199"/>
      <c r="R5" s="199"/>
      <c r="S5" s="199"/>
      <c r="T5" s="758"/>
    </row>
    <row r="6" spans="1:20" s="220" customFormat="1" ht="15" customHeight="1" thickBot="1">
      <c r="A6" s="55" t="s">
        <v>626</v>
      </c>
      <c r="B6" s="167"/>
      <c r="C6" s="167"/>
      <c r="D6" s="167"/>
      <c r="E6" s="41"/>
      <c r="F6" s="1830">
        <f>IF('PR_Programmatic Progress_1A'!C14="Select","",'PR_Programmatic Progress_1A'!C14)</f>
        <v>16</v>
      </c>
      <c r="G6" s="1831"/>
      <c r="H6" s="1831"/>
      <c r="I6" s="1832"/>
      <c r="J6" s="196"/>
      <c r="K6" s="197"/>
      <c r="L6" s="199"/>
      <c r="M6" s="199"/>
      <c r="N6" s="199"/>
      <c r="O6" s="199"/>
      <c r="P6" s="199"/>
      <c r="Q6" s="199"/>
      <c r="R6" s="199"/>
      <c r="S6" s="199"/>
      <c r="T6" s="758"/>
    </row>
    <row r="7" spans="1:20" s="73" customFormat="1" ht="15" customHeight="1" thickBot="1">
      <c r="A7" s="1233" t="s">
        <v>592</v>
      </c>
      <c r="B7" s="1234"/>
      <c r="C7" s="1236"/>
      <c r="D7" s="2091" t="str">
        <f>IF('PR_Programmatic Progress_1A'!C10="Select","",'PR_Programmatic Progress_1A'!C10)</f>
        <v>USD</v>
      </c>
      <c r="E7" s="2092"/>
      <c r="F7" s="2092"/>
      <c r="G7" s="2092"/>
      <c r="H7" s="2092"/>
      <c r="I7" s="2093"/>
      <c r="J7" s="4"/>
      <c r="K7" s="4"/>
      <c r="L7" s="4"/>
    </row>
    <row r="8" spans="1:20" ht="8.25" customHeight="1">
      <c r="A8" s="294"/>
      <c r="B8" s="295"/>
      <c r="C8" s="295"/>
      <c r="D8" s="1239"/>
      <c r="E8" s="1239"/>
      <c r="F8" s="1240"/>
      <c r="G8" s="1239"/>
      <c r="H8" s="7"/>
      <c r="I8" s="1241"/>
      <c r="J8" s="289"/>
      <c r="K8" s="299"/>
      <c r="L8" s="287"/>
      <c r="M8" s="287"/>
      <c r="N8" s="289"/>
      <c r="O8" s="289"/>
      <c r="P8" s="289"/>
      <c r="Q8" s="289"/>
      <c r="R8" s="301"/>
      <c r="S8" s="199"/>
      <c r="T8" s="756"/>
    </row>
    <row r="9" spans="1:20" ht="33.75" customHeight="1">
      <c r="A9" s="66" t="s">
        <v>210</v>
      </c>
      <c r="B9" s="296"/>
      <c r="C9" s="296"/>
      <c r="D9" s="296"/>
      <c r="E9" s="296"/>
      <c r="F9" s="166"/>
      <c r="G9" s="293"/>
      <c r="H9" s="291"/>
      <c r="I9" s="290"/>
      <c r="J9" s="288"/>
      <c r="K9" s="6"/>
      <c r="L9" s="290"/>
      <c r="M9" s="301"/>
      <c r="N9" s="301"/>
      <c r="O9" s="301"/>
      <c r="P9" s="301"/>
      <c r="Q9" s="301"/>
      <c r="R9" s="301"/>
      <c r="S9" s="301"/>
      <c r="T9" s="756"/>
    </row>
    <row r="10" spans="1:20" s="754" customFormat="1" ht="6.75" customHeight="1" thickBot="1">
      <c r="A10" s="175"/>
      <c r="B10" s="251"/>
      <c r="C10" s="251"/>
      <c r="D10" s="251"/>
      <c r="E10" s="251"/>
      <c r="F10" s="247"/>
      <c r="G10" s="248"/>
      <c r="H10" s="248"/>
      <c r="I10" s="248"/>
      <c r="J10" s="248"/>
      <c r="K10" s="251"/>
      <c r="L10" s="251"/>
      <c r="M10" s="842"/>
      <c r="N10" s="842"/>
      <c r="O10" s="842"/>
      <c r="P10" s="842"/>
      <c r="Q10" s="842"/>
      <c r="R10" s="842"/>
      <c r="S10" s="842"/>
      <c r="T10" s="1013"/>
    </row>
    <row r="11" spans="1:20" s="754" customFormat="1" ht="20.100000000000001" customHeight="1" thickBot="1">
      <c r="A11" s="2059" t="s">
        <v>606</v>
      </c>
      <c r="B11" s="2060"/>
      <c r="C11" s="2060"/>
      <c r="D11" s="2060"/>
      <c r="E11" s="2060"/>
      <c r="F11" s="2060"/>
      <c r="G11" s="2060"/>
      <c r="H11" s="2060"/>
      <c r="I11" s="2060"/>
      <c r="J11" s="2060"/>
      <c r="K11" s="2060"/>
      <c r="L11" s="2060"/>
      <c r="M11" s="2060"/>
      <c r="N11" s="2060"/>
      <c r="O11" s="2060"/>
      <c r="P11" s="2060"/>
      <c r="Q11" s="2060"/>
      <c r="R11" s="2060"/>
      <c r="S11" s="2098"/>
      <c r="T11" s="1014"/>
    </row>
    <row r="12" spans="1:20" s="754" customFormat="1" ht="4.5" customHeight="1">
      <c r="A12" s="2099"/>
      <c r="B12" s="2099"/>
      <c r="C12" s="2099"/>
      <c r="D12" s="2099"/>
      <c r="E12" s="2099"/>
      <c r="F12" s="2099"/>
      <c r="G12" s="2099"/>
      <c r="H12" s="2099"/>
      <c r="I12" s="2100"/>
      <c r="J12" s="2099"/>
      <c r="K12" s="2099"/>
      <c r="L12" s="2099"/>
      <c r="M12" s="2099"/>
      <c r="N12" s="2099"/>
      <c r="O12" s="2099"/>
      <c r="P12" s="2099"/>
      <c r="Q12" s="2099"/>
      <c r="R12" s="2099"/>
      <c r="S12" s="2099"/>
      <c r="T12" s="1013"/>
    </row>
    <row r="13" spans="1:20" s="754" customFormat="1" ht="4.5" customHeight="1">
      <c r="A13" s="835"/>
      <c r="B13" s="18"/>
      <c r="C13" s="18"/>
      <c r="D13" s="18"/>
      <c r="E13" s="835"/>
      <c r="F13" s="18"/>
      <c r="G13" s="835"/>
      <c r="H13" s="835"/>
      <c r="I13" s="18"/>
      <c r="J13" s="835"/>
      <c r="K13" s="835"/>
      <c r="L13" s="835"/>
      <c r="M13" s="835"/>
      <c r="N13" s="835"/>
      <c r="O13" s="18"/>
      <c r="P13" s="18"/>
      <c r="Q13" s="18"/>
      <c r="R13" s="18"/>
      <c r="S13" s="835"/>
      <c r="T13" s="1013"/>
    </row>
    <row r="14" spans="1:20" s="754" customFormat="1" ht="15" customHeight="1">
      <c r="A14" s="265" t="s">
        <v>612</v>
      </c>
      <c r="B14" s="18"/>
      <c r="C14" s="18"/>
      <c r="D14" s="18"/>
      <c r="E14" s="303"/>
      <c r="F14" s="18"/>
      <c r="G14" s="515"/>
      <c r="H14" s="335"/>
      <c r="I14" s="18"/>
      <c r="J14" s="515"/>
      <c r="K14" s="515"/>
      <c r="L14" s="314"/>
      <c r="M14" s="515"/>
      <c r="N14" s="501"/>
      <c r="O14" s="18"/>
      <c r="P14" s="18"/>
      <c r="Q14" s="18"/>
      <c r="R14" s="18"/>
      <c r="S14" s="515"/>
      <c r="T14" s="1013"/>
    </row>
    <row r="15" spans="1:20" s="754" customFormat="1" ht="17.25" customHeight="1">
      <c r="A15" s="266" t="s">
        <v>357</v>
      </c>
      <c r="B15" s="304"/>
      <c r="C15" s="19"/>
      <c r="D15" s="19"/>
      <c r="E15" s="19"/>
      <c r="F15" s="320"/>
      <c r="G15" s="261"/>
      <c r="H15" s="19"/>
      <c r="I15" s="261"/>
      <c r="J15" s="304"/>
      <c r="K15" s="261"/>
      <c r="L15" s="261"/>
      <c r="M15" s="19"/>
      <c r="N15" s="261"/>
      <c r="O15" s="320"/>
      <c r="P15" s="320"/>
      <c r="Q15" s="320"/>
      <c r="R15" s="320"/>
      <c r="S15" s="321"/>
      <c r="T15" s="1013"/>
    </row>
    <row r="16" spans="1:20" s="800" customFormat="1" ht="19.5" customHeight="1">
      <c r="A16" s="276" t="s">
        <v>211</v>
      </c>
      <c r="B16" s="327"/>
      <c r="C16" s="169"/>
      <c r="D16" s="169"/>
      <c r="E16" s="334" t="str">
        <f>IF('PR_Programmatic Progress_1A'!D17="","",'PR_Programmatic Progress_1A'!D17)</f>
        <v/>
      </c>
      <c r="F16" s="319"/>
      <c r="G16" s="276" t="s">
        <v>607</v>
      </c>
      <c r="H16" s="334" t="str">
        <f>IF('PR_Programmatic Progress_1A'!F17="","",'PR_Programmatic Progress_1A'!F17)</f>
        <v/>
      </c>
      <c r="I16" s="276"/>
      <c r="J16" s="316" t="s">
        <v>394</v>
      </c>
      <c r="K16" s="420">
        <v>0</v>
      </c>
      <c r="L16" s="421" t="s">
        <v>623</v>
      </c>
      <c r="M16" s="422"/>
      <c r="N16" s="408">
        <f>K16</f>
        <v>0</v>
      </c>
      <c r="O16" s="893"/>
      <c r="P16" s="893"/>
      <c r="Q16" s="893"/>
      <c r="R16" s="423"/>
      <c r="S16" s="431"/>
      <c r="T16" s="1015"/>
    </row>
    <row r="17" spans="1:20" s="800" customFormat="1" ht="24.75" customHeight="1">
      <c r="A17" s="276" t="s">
        <v>280</v>
      </c>
      <c r="B17" s="327"/>
      <c r="C17" s="169"/>
      <c r="D17" s="169"/>
      <c r="E17" s="192"/>
      <c r="F17" s="319"/>
      <c r="G17" s="323"/>
      <c r="H17" s="192"/>
      <c r="I17" s="276"/>
      <c r="J17" s="317"/>
      <c r="K17" s="425"/>
      <c r="L17" s="421"/>
      <c r="M17" s="426"/>
      <c r="N17" s="427"/>
      <c r="O17" s="1179"/>
      <c r="P17" s="1179"/>
      <c r="Q17" s="1179"/>
      <c r="R17" s="423"/>
      <c r="T17" s="836"/>
    </row>
    <row r="18" spans="1:20" s="800" customFormat="1" ht="22.5" customHeight="1">
      <c r="A18" s="249" t="s">
        <v>271</v>
      </c>
      <c r="B18" s="327"/>
      <c r="C18" s="169"/>
      <c r="D18" s="169"/>
      <c r="E18" s="334" t="str">
        <f>IF(H16="","",H16+1)</f>
        <v/>
      </c>
      <c r="F18" s="319"/>
      <c r="G18" s="276" t="s">
        <v>607</v>
      </c>
      <c r="H18" s="334" t="str">
        <f>IF(E18="","",DATE(YEAR(E18),MONTH(E18)+3,DAY(E18)-1))</f>
        <v/>
      </c>
      <c r="I18" s="276"/>
      <c r="J18" s="316" t="s">
        <v>394</v>
      </c>
      <c r="K18" s="428">
        <v>0</v>
      </c>
      <c r="L18" s="421" t="s">
        <v>623</v>
      </c>
      <c r="M18" s="429"/>
      <c r="N18" s="428">
        <f>K18</f>
        <v>0</v>
      </c>
      <c r="O18" s="1180"/>
      <c r="P18" s="1180"/>
      <c r="Q18" s="1180"/>
      <c r="R18" s="430"/>
      <c r="T18" s="799"/>
    </row>
    <row r="19" spans="1:20" s="800" customFormat="1" ht="16.5" customHeight="1">
      <c r="A19" s="837"/>
      <c r="B19" s="92"/>
      <c r="C19" s="92"/>
      <c r="D19" s="92"/>
      <c r="E19" s="1158"/>
      <c r="F19" s="92"/>
      <c r="G19" s="92"/>
      <c r="H19" s="1158"/>
      <c r="I19" s="92"/>
      <c r="J19" s="92"/>
      <c r="K19" s="1159"/>
      <c r="L19" s="1160"/>
      <c r="M19" s="1161"/>
      <c r="N19" s="1159"/>
      <c r="O19" s="1159"/>
      <c r="P19" s="1159"/>
      <c r="Q19" s="1159"/>
      <c r="R19" s="830"/>
      <c r="S19" s="810" t="s">
        <v>553</v>
      </c>
    </row>
    <row r="20" spans="1:20" s="800" customFormat="1" ht="25.5" customHeight="1">
      <c r="A20" s="276" t="s">
        <v>290</v>
      </c>
      <c r="B20" s="92"/>
      <c r="D20" s="92"/>
      <c r="E20" s="1158"/>
      <c r="F20" s="92"/>
      <c r="G20" s="92"/>
      <c r="H20" s="1158"/>
      <c r="I20" s="92"/>
      <c r="J20" s="92"/>
      <c r="K20" s="1159"/>
      <c r="L20" s="1160"/>
      <c r="M20" s="1161"/>
      <c r="N20" s="1159"/>
      <c r="O20" s="1159"/>
      <c r="P20" s="1159"/>
      <c r="Q20" s="1159"/>
      <c r="R20" s="830"/>
      <c r="S20" s="409">
        <f>N16+N18+N22</f>
        <v>0</v>
      </c>
    </row>
    <row r="21" spans="1:20" s="800" customFormat="1" ht="25.5" customHeight="1">
      <c r="A21" s="249" t="s">
        <v>274</v>
      </c>
      <c r="B21" s="92"/>
      <c r="C21" s="1175" t="s">
        <v>270</v>
      </c>
      <c r="D21" s="92"/>
      <c r="E21" s="1158"/>
      <c r="F21" s="92"/>
      <c r="G21" s="92"/>
      <c r="H21" s="1158"/>
      <c r="I21" s="92"/>
      <c r="J21" s="92"/>
      <c r="K21" s="1159"/>
      <c r="L21" s="1160"/>
      <c r="M21" s="1161"/>
      <c r="N21" s="1159"/>
      <c r="O21" s="1159"/>
      <c r="P21" s="1159"/>
      <c r="Q21" s="1159"/>
      <c r="R21" s="830"/>
      <c r="S21" s="1162"/>
    </row>
    <row r="22" spans="1:20" s="800" customFormat="1" ht="20.25" customHeight="1">
      <c r="A22" s="837" t="s">
        <v>272</v>
      </c>
      <c r="B22" s="92"/>
      <c r="D22" s="92"/>
      <c r="E22" s="334" t="str">
        <f>IF(H18="","",H18+1)</f>
        <v/>
      </c>
      <c r="F22" s="92"/>
      <c r="G22" s="276" t="s">
        <v>607</v>
      </c>
      <c r="H22" s="334" t="str">
        <f>IF(C21="","",IF(C21="1M",DATE(YEAR(E22),MONTH(E22)+1,DAY(E22)-1),IF(C21="2M",DATE(YEAR(E22),MONTH(E22)+2,DAY(E22)-1),IF(C21="3M",DATE(YEAR(E22),MONTH(E22)+3,DAY(E22)-1),""))))</f>
        <v/>
      </c>
      <c r="I22" s="92"/>
      <c r="J22" s="92" t="s">
        <v>394</v>
      </c>
      <c r="K22" s="416"/>
      <c r="L22" s="1160" t="s">
        <v>623</v>
      </c>
      <c r="M22" s="1161"/>
      <c r="N22" s="416"/>
      <c r="O22" s="1159"/>
      <c r="P22" s="1159"/>
      <c r="Q22" s="1159"/>
      <c r="R22" s="830"/>
      <c r="S22" s="1162"/>
    </row>
    <row r="23" spans="1:20" s="800" customFormat="1" ht="14.25" customHeight="1">
      <c r="A23" s="837"/>
      <c r="B23" s="92"/>
      <c r="D23" s="92"/>
      <c r="E23" s="1158"/>
      <c r="F23" s="92"/>
      <c r="G23" s="92"/>
      <c r="H23" s="1158"/>
      <c r="I23" s="92"/>
      <c r="J23" s="92"/>
      <c r="K23" s="1159"/>
      <c r="L23" s="1160"/>
      <c r="M23" s="1161"/>
      <c r="N23" s="1159"/>
      <c r="O23" s="1159"/>
      <c r="P23" s="1159"/>
      <c r="Q23" s="1159"/>
      <c r="R23" s="830"/>
      <c r="S23" s="1162"/>
    </row>
    <row r="24" spans="1:20" s="800" customFormat="1" ht="40.5" customHeight="1">
      <c r="A24" s="2096" t="s">
        <v>340</v>
      </c>
      <c r="B24" s="2096"/>
      <c r="C24" s="2096"/>
      <c r="D24" s="2096"/>
      <c r="E24" s="2096"/>
      <c r="F24" s="2096"/>
      <c r="G24" s="2096"/>
      <c r="H24" s="2096"/>
      <c r="I24" s="2096"/>
      <c r="J24" s="2096"/>
      <c r="K24" s="2096"/>
      <c r="L24" s="2096"/>
      <c r="M24" s="2096"/>
      <c r="N24" s="2096"/>
      <c r="O24" s="2096"/>
      <c r="P24" s="2096"/>
      <c r="Q24" s="2096"/>
      <c r="R24" s="2096"/>
      <c r="S24" s="2096"/>
      <c r="T24" s="2097"/>
    </row>
    <row r="25" spans="1:20" s="800" customFormat="1" ht="33" customHeight="1">
      <c r="A25" s="2096" t="s">
        <v>285</v>
      </c>
      <c r="B25" s="2096"/>
      <c r="C25" s="2096"/>
      <c r="D25" s="2096"/>
      <c r="E25" s="2096"/>
      <c r="F25" s="2096"/>
      <c r="G25" s="2096"/>
      <c r="H25" s="2096"/>
      <c r="I25" s="2096"/>
      <c r="J25" s="2096"/>
      <c r="K25" s="2096"/>
      <c r="L25" s="2096"/>
      <c r="M25" s="2096"/>
      <c r="N25" s="2096"/>
      <c r="O25" s="2096"/>
      <c r="P25" s="2096"/>
      <c r="Q25" s="2096"/>
      <c r="R25" s="2096"/>
      <c r="S25" s="2096"/>
      <c r="T25" s="2096"/>
    </row>
    <row r="26" spans="1:20" s="800" customFormat="1" ht="13.5" customHeight="1" thickBot="1">
      <c r="A26" s="169"/>
      <c r="B26" s="169"/>
      <c r="C26" s="169"/>
      <c r="D26" s="169"/>
      <c r="E26" s="169"/>
      <c r="F26" s="169"/>
      <c r="G26" s="193"/>
      <c r="H26" s="193"/>
      <c r="I26" s="193"/>
      <c r="J26" s="169"/>
      <c r="K26" s="169"/>
      <c r="L26" s="169"/>
      <c r="M26" s="169"/>
      <c r="N26" s="705"/>
      <c r="O26" s="705"/>
      <c r="P26" s="705"/>
      <c r="Q26" s="705"/>
      <c r="R26" s="169"/>
      <c r="S26" s="705"/>
    </row>
    <row r="27" spans="1:20" ht="102" customHeight="1">
      <c r="A27" s="2094" t="s">
        <v>325</v>
      </c>
      <c r="B27" s="2094"/>
      <c r="C27" s="2094"/>
      <c r="D27" s="2094"/>
      <c r="E27" s="2094"/>
      <c r="F27" s="2094"/>
      <c r="G27" s="2094"/>
      <c r="H27" s="2094"/>
      <c r="I27" s="2078"/>
      <c r="J27" s="2079"/>
      <c r="K27" s="2079"/>
      <c r="L27" s="2079"/>
      <c r="M27" s="2079"/>
      <c r="N27" s="2079"/>
      <c r="O27" s="2079"/>
      <c r="P27" s="2079"/>
      <c r="Q27" s="2079"/>
      <c r="R27" s="2079"/>
      <c r="S27" s="2080"/>
      <c r="T27" s="69"/>
    </row>
    <row r="28" spans="1:20" ht="102" customHeight="1" thickBot="1">
      <c r="A28" s="2095"/>
      <c r="B28" s="2095"/>
      <c r="C28" s="2095"/>
      <c r="D28" s="2095"/>
      <c r="E28" s="2095"/>
      <c r="F28" s="2095"/>
      <c r="G28" s="2095"/>
      <c r="H28" s="2095"/>
      <c r="I28" s="2081"/>
      <c r="J28" s="2082"/>
      <c r="K28" s="2082"/>
      <c r="L28" s="2082"/>
      <c r="M28" s="2082"/>
      <c r="N28" s="2082"/>
      <c r="O28" s="2082"/>
      <c r="P28" s="2082"/>
      <c r="Q28" s="2082"/>
      <c r="R28" s="2082"/>
      <c r="S28" s="2083"/>
      <c r="T28" s="69"/>
    </row>
    <row r="29" spans="1:20" s="800" customFormat="1" ht="6.75" customHeight="1">
      <c r="A29" s="394"/>
      <c r="B29" s="395"/>
      <c r="C29" s="395"/>
      <c r="D29" s="395"/>
      <c r="E29" s="396"/>
      <c r="F29" s="396"/>
      <c r="G29" s="397"/>
      <c r="H29" s="397"/>
      <c r="I29" s="661"/>
      <c r="J29" s="662"/>
      <c r="K29" s="169"/>
      <c r="L29" s="662"/>
      <c r="M29" s="336"/>
      <c r="N29" s="663"/>
      <c r="O29" s="663"/>
      <c r="P29" s="663"/>
      <c r="Q29" s="663"/>
      <c r="R29" s="336"/>
      <c r="S29" s="664"/>
      <c r="T29" s="1015"/>
    </row>
    <row r="30" spans="1:20" s="800" customFormat="1" ht="6.75" customHeight="1">
      <c r="A30" s="671"/>
      <c r="B30" s="672"/>
      <c r="C30" s="672"/>
      <c r="D30" s="672"/>
      <c r="E30" s="673"/>
      <c r="F30" s="673"/>
      <c r="G30" s="674"/>
      <c r="H30" s="674"/>
      <c r="I30" s="675"/>
      <c r="J30" s="676"/>
      <c r="K30" s="672"/>
      <c r="L30" s="676"/>
      <c r="M30" s="672"/>
      <c r="N30" s="677"/>
      <c r="O30" s="677"/>
      <c r="P30" s="677"/>
      <c r="Q30" s="677"/>
      <c r="R30" s="676"/>
      <c r="S30" s="678"/>
      <c r="T30" s="1015"/>
    </row>
    <row r="31" spans="1:20" s="800" customFormat="1" ht="26.25" customHeight="1">
      <c r="A31" s="2087" t="s">
        <v>605</v>
      </c>
      <c r="B31" s="336" t="s">
        <v>250</v>
      </c>
      <c r="C31" s="336"/>
      <c r="D31" s="336"/>
      <c r="E31" s="336"/>
      <c r="F31" s="336"/>
      <c r="G31" s="336"/>
      <c r="H31" s="336"/>
      <c r="I31" s="336"/>
      <c r="J31" s="336"/>
      <c r="K31" s="336"/>
      <c r="L31" s="336"/>
      <c r="M31" s="432"/>
      <c r="N31" s="415">
        <f>+'PR_Cash Reconciliation_5A'!M26</f>
        <v>172255.43</v>
      </c>
      <c r="O31" s="1181"/>
      <c r="P31" s="1181"/>
      <c r="Q31" s="1181"/>
      <c r="R31" s="433"/>
      <c r="S31" s="434"/>
      <c r="T31" s="1015"/>
    </row>
    <row r="32" spans="1:20" s="800" customFormat="1" ht="26.25" customHeight="1">
      <c r="A32" s="2088"/>
      <c r="B32" s="658"/>
      <c r="C32" s="658"/>
      <c r="D32" s="658"/>
      <c r="E32" s="276"/>
      <c r="F32" s="276"/>
      <c r="G32" s="276"/>
      <c r="H32" s="276"/>
      <c r="I32" s="276"/>
      <c r="J32" s="276"/>
      <c r="K32" s="276"/>
      <c r="L32" s="276"/>
      <c r="M32" s="169"/>
      <c r="N32" s="811"/>
      <c r="O32" s="830"/>
      <c r="P32" s="830"/>
      <c r="Q32" s="830"/>
      <c r="R32" s="424"/>
      <c r="S32" s="431"/>
      <c r="T32" s="1015"/>
    </row>
    <row r="33" spans="1:20" s="800" customFormat="1" ht="26.25" customHeight="1">
      <c r="A33" s="2088"/>
      <c r="B33" s="276" t="s">
        <v>212</v>
      </c>
      <c r="C33" s="326"/>
      <c r="D33" s="326"/>
      <c r="E33" s="365"/>
      <c r="F33" s="276"/>
      <c r="G33" s="276"/>
      <c r="H33" s="276"/>
      <c r="I33" s="354"/>
      <c r="J33" s="354"/>
      <c r="K33" s="354"/>
      <c r="L33" s="276"/>
      <c r="M33" s="318"/>
      <c r="N33" s="416"/>
      <c r="O33" s="1159"/>
      <c r="P33" s="1159"/>
      <c r="Q33" s="1159"/>
      <c r="R33" s="424"/>
      <c r="S33" s="431"/>
      <c r="T33" s="1015"/>
    </row>
    <row r="34" spans="1:20" s="800" customFormat="1" ht="26.25" customHeight="1">
      <c r="A34" s="364"/>
      <c r="B34" s="1264" t="s">
        <v>213</v>
      </c>
      <c r="C34" s="92"/>
      <c r="D34" s="92"/>
      <c r="E34" s="92"/>
      <c r="F34" s="1265"/>
      <c r="G34" s="1264"/>
      <c r="H34" s="2089"/>
      <c r="I34" s="2090"/>
      <c r="J34" s="2090"/>
      <c r="K34" s="2090"/>
      <c r="L34" s="2090"/>
      <c r="M34" s="2090"/>
      <c r="N34" s="416"/>
      <c r="O34" s="1159"/>
      <c r="P34" s="1159"/>
      <c r="Q34" s="1159"/>
      <c r="R34" s="435"/>
      <c r="S34" s="409">
        <f>+N31+N33+N34</f>
        <v>172255.43</v>
      </c>
      <c r="T34" s="1018"/>
    </row>
    <row r="35" spans="1:20" s="800" customFormat="1" ht="21" customHeight="1">
      <c r="A35" s="679"/>
      <c r="B35" s="315"/>
      <c r="C35" s="672"/>
      <c r="D35" s="672"/>
      <c r="E35" s="672"/>
      <c r="F35" s="680"/>
      <c r="G35" s="680"/>
      <c r="H35" s="315"/>
      <c r="I35" s="672"/>
      <c r="J35" s="315"/>
      <c r="K35" s="672"/>
      <c r="L35" s="1363"/>
      <c r="M35" s="315"/>
      <c r="N35" s="1364"/>
      <c r="O35" s="1365"/>
      <c r="P35" s="1365"/>
      <c r="Q35" s="1365"/>
      <c r="R35" s="1365"/>
      <c r="S35" s="1366"/>
    </row>
    <row r="36" spans="1:20" s="800" customFormat="1" ht="26.25" customHeight="1" thickBot="1">
      <c r="A36" s="169" t="s">
        <v>214</v>
      </c>
      <c r="B36" s="169"/>
      <c r="C36" s="169"/>
      <c r="D36" s="169"/>
      <c r="E36" s="169"/>
      <c r="F36" s="169"/>
      <c r="G36" s="169"/>
      <c r="H36" s="169"/>
      <c r="I36" s="169"/>
      <c r="J36" s="169"/>
      <c r="K36" s="169"/>
      <c r="L36" s="336"/>
      <c r="M36" s="336"/>
      <c r="N36" s="433"/>
      <c r="O36" s="436"/>
      <c r="P36" s="436"/>
      <c r="Q36" s="436"/>
      <c r="R36" s="436"/>
      <c r="S36" s="419">
        <f>IF(S20=0,0,IF(S20-S34&lt;0,0,S20-S34))</f>
        <v>0</v>
      </c>
      <c r="T36" s="1362"/>
    </row>
    <row r="37" spans="1:20" s="800" customFormat="1" ht="9.75" customHeight="1" thickTop="1">
      <c r="A37" s="322"/>
      <c r="B37" s="322"/>
      <c r="C37" s="322"/>
      <c r="D37" s="322"/>
      <c r="E37" s="322"/>
      <c r="F37" s="322"/>
      <c r="G37" s="322"/>
      <c r="H37" s="322"/>
      <c r="I37" s="333"/>
      <c r="J37" s="322"/>
      <c r="K37" s="322"/>
      <c r="L37" s="322"/>
      <c r="M37" s="322"/>
      <c r="N37" s="322"/>
      <c r="O37" s="317"/>
      <c r="P37" s="317"/>
      <c r="Q37" s="317"/>
      <c r="R37" s="317"/>
      <c r="S37" s="191"/>
      <c r="T37" s="1015"/>
    </row>
    <row r="38" spans="1:20" s="800" customFormat="1" ht="26.25" customHeight="1">
      <c r="A38" s="329" t="s">
        <v>215</v>
      </c>
      <c r="B38" s="322"/>
      <c r="C38" s="322"/>
      <c r="D38" s="322"/>
      <c r="E38" s="322"/>
      <c r="F38" s="322"/>
      <c r="G38" s="322"/>
      <c r="H38" s="332"/>
      <c r="I38" s="279" t="s">
        <v>365</v>
      </c>
      <c r="J38" s="328"/>
      <c r="K38" s="322"/>
      <c r="L38" s="322"/>
      <c r="M38" s="322"/>
      <c r="N38" s="322"/>
      <c r="O38" s="317"/>
      <c r="P38" s="317"/>
      <c r="Q38" s="317"/>
      <c r="R38" s="317"/>
      <c r="S38" s="317"/>
      <c r="T38" s="1015"/>
    </row>
    <row r="39" spans="1:20" s="800" customFormat="1" ht="11.25" customHeight="1">
      <c r="A39" s="329"/>
      <c r="B39" s="322"/>
      <c r="C39" s="322"/>
      <c r="D39" s="322"/>
      <c r="E39" s="322"/>
      <c r="F39" s="322"/>
      <c r="G39" s="322"/>
      <c r="H39" s="322"/>
      <c r="I39" s="48"/>
      <c r="J39" s="323"/>
      <c r="K39" s="322"/>
      <c r="L39" s="322"/>
      <c r="M39" s="322"/>
      <c r="N39" s="323"/>
      <c r="O39" s="324"/>
      <c r="P39" s="324"/>
      <c r="Q39" s="324"/>
      <c r="R39" s="317"/>
      <c r="S39" s="317"/>
      <c r="T39" s="1015"/>
    </row>
    <row r="40" spans="1:20" s="800" customFormat="1" ht="26.25" customHeight="1" thickBot="1">
      <c r="A40" s="659" t="s">
        <v>216</v>
      </c>
      <c r="B40" s="322"/>
      <c r="C40" s="322"/>
      <c r="D40" s="322"/>
      <c r="E40" s="322"/>
      <c r="F40" s="330"/>
      <c r="G40" s="557"/>
      <c r="H40" s="331"/>
      <c r="I40" s="1267" t="s">
        <v>317</v>
      </c>
      <c r="J40" s="365"/>
      <c r="K40" s="365"/>
      <c r="L40" s="354"/>
      <c r="M40" s="1268"/>
      <c r="N40" s="1269"/>
      <c r="O40" s="1269"/>
      <c r="P40" s="1269"/>
      <c r="Q40" s="1269"/>
      <c r="R40" s="1269"/>
      <c r="S40" s="1268"/>
      <c r="T40" s="1015"/>
    </row>
    <row r="41" spans="1:20" s="800" customFormat="1" ht="36" customHeight="1" thickBot="1">
      <c r="A41" s="658"/>
      <c r="B41" s="1266" t="s">
        <v>573</v>
      </c>
      <c r="C41" s="1266"/>
      <c r="D41" s="1266"/>
      <c r="E41" s="354"/>
      <c r="F41" s="812"/>
      <c r="G41" s="1399">
        <v>45.7</v>
      </c>
      <c r="H41" s="813"/>
      <c r="I41" s="2075" t="s">
        <v>717</v>
      </c>
      <c r="J41" s="2076"/>
      <c r="K41" s="2076"/>
      <c r="L41" s="2077"/>
      <c r="M41" s="324"/>
      <c r="N41" s="323"/>
      <c r="O41" s="324"/>
      <c r="P41" s="324"/>
      <c r="Q41" s="324"/>
      <c r="R41" s="324"/>
      <c r="S41" s="324"/>
      <c r="T41" s="1015"/>
    </row>
    <row r="42" spans="1:20" s="800" customFormat="1" ht="9.75" customHeight="1" thickBot="1">
      <c r="A42" s="658"/>
      <c r="B42" s="815"/>
      <c r="C42" s="815"/>
      <c r="D42" s="815"/>
      <c r="E42" s="276"/>
      <c r="F42" s="319"/>
      <c r="G42" s="814"/>
      <c r="H42" s="191"/>
      <c r="I42" s="710"/>
      <c r="J42" s="710"/>
      <c r="K42" s="710"/>
      <c r="L42" s="710"/>
      <c r="M42" s="323"/>
      <c r="N42" s="323"/>
      <c r="O42" s="324"/>
      <c r="P42" s="324"/>
      <c r="Q42" s="324"/>
      <c r="R42" s="324"/>
      <c r="S42" s="324"/>
      <c r="T42" s="1015"/>
    </row>
    <row r="43" spans="1:20" s="800" customFormat="1" ht="36" customHeight="1" thickBot="1">
      <c r="A43" s="257"/>
      <c r="B43" s="1266" t="s">
        <v>574</v>
      </c>
      <c r="C43" s="1266"/>
      <c r="D43" s="1266"/>
      <c r="E43" s="354"/>
      <c r="F43" s="812"/>
      <c r="G43" s="1399">
        <v>45.7</v>
      </c>
      <c r="H43" s="813"/>
      <c r="I43" s="2075" t="s">
        <v>718</v>
      </c>
      <c r="J43" s="2076"/>
      <c r="K43" s="2076"/>
      <c r="L43" s="2077"/>
      <c r="M43" s="324"/>
      <c r="N43" s="323"/>
      <c r="O43" s="324"/>
      <c r="P43" s="324"/>
      <c r="Q43" s="324"/>
      <c r="R43" s="324"/>
      <c r="S43" s="324"/>
      <c r="T43" s="1015"/>
    </row>
    <row r="44" spans="1:20" s="800" customFormat="1" ht="9.75" customHeight="1" thickBot="1">
      <c r="A44" s="257"/>
      <c r="B44" s="815"/>
      <c r="C44" s="815"/>
      <c r="D44" s="815"/>
      <c r="E44" s="276"/>
      <c r="F44" s="276"/>
      <c r="G44" s="1400"/>
      <c r="H44" s="319"/>
      <c r="I44" s="710"/>
      <c r="J44" s="710"/>
      <c r="K44" s="710"/>
      <c r="L44" s="710"/>
      <c r="M44" s="323"/>
      <c r="N44" s="323"/>
      <c r="O44" s="324"/>
      <c r="P44" s="324"/>
      <c r="Q44" s="324"/>
      <c r="R44" s="324"/>
      <c r="S44" s="324"/>
      <c r="T44" s="1015"/>
    </row>
    <row r="45" spans="1:20" s="800" customFormat="1" ht="35.25" customHeight="1" thickBot="1">
      <c r="A45" s="257"/>
      <c r="B45" s="2084" t="s">
        <v>407</v>
      </c>
      <c r="C45" s="2085"/>
      <c r="D45" s="2085"/>
      <c r="E45" s="2086"/>
      <c r="F45" s="1293"/>
      <c r="G45" s="1399">
        <v>45.7</v>
      </c>
      <c r="H45" s="1294"/>
      <c r="I45" s="2075" t="s">
        <v>719</v>
      </c>
      <c r="J45" s="2076"/>
      <c r="K45" s="2076"/>
      <c r="L45" s="2077"/>
      <c r="M45" s="1017"/>
      <c r="N45" s="1016"/>
      <c r="O45" s="1017"/>
      <c r="P45" s="1017"/>
      <c r="Q45" s="1017"/>
      <c r="R45" s="1017"/>
      <c r="S45" s="1017"/>
      <c r="T45" s="1018"/>
    </row>
    <row r="46" spans="1:20" s="800" customFormat="1" ht="6" customHeight="1">
      <c r="A46" s="1292"/>
      <c r="B46" s="1295"/>
      <c r="C46" s="1295"/>
      <c r="D46" s="1295"/>
      <c r="E46" s="169"/>
      <c r="F46" s="660"/>
      <c r="G46" s="660"/>
      <c r="H46" s="660"/>
      <c r="I46" s="1296"/>
      <c r="J46" s="1296"/>
      <c r="K46" s="1296"/>
      <c r="L46" s="1296"/>
      <c r="M46" s="1296"/>
      <c r="N46" s="1296"/>
      <c r="O46" s="1296"/>
      <c r="P46" s="1296"/>
      <c r="Q46" s="1296"/>
      <c r="R46" s="1296"/>
      <c r="S46" s="1296"/>
    </row>
    <row r="47" spans="1:20" ht="14.25">
      <c r="A47" s="1019"/>
      <c r="B47" s="552"/>
      <c r="C47" s="552"/>
      <c r="D47" s="552"/>
      <c r="E47" s="552"/>
      <c r="F47" s="1019"/>
      <c r="G47" s="1019"/>
      <c r="H47" s="1019"/>
      <c r="I47" s="2"/>
      <c r="J47" s="2"/>
      <c r="K47" s="2"/>
      <c r="L47" s="2"/>
      <c r="M47" s="2"/>
      <c r="N47" s="2"/>
      <c r="O47" s="2"/>
      <c r="P47" s="2"/>
      <c r="Q47" s="2"/>
      <c r="R47" s="2"/>
      <c r="S47" s="2"/>
      <c r="T47" s="69"/>
    </row>
    <row r="48" spans="1:20" ht="14.25">
      <c r="A48" s="1020"/>
      <c r="B48" s="88"/>
      <c r="C48" s="88"/>
      <c r="D48" s="88"/>
      <c r="E48" s="88"/>
      <c r="F48" s="1020"/>
      <c r="G48" s="1020"/>
      <c r="H48" s="1020"/>
      <c r="I48" s="69"/>
      <c r="J48" s="69"/>
      <c r="K48" s="69"/>
      <c r="L48" s="69"/>
      <c r="M48" s="69"/>
      <c r="N48" s="69"/>
      <c r="O48" s="69"/>
      <c r="P48" s="69"/>
      <c r="Q48" s="69"/>
      <c r="R48" s="69"/>
      <c r="S48" s="69"/>
      <c r="T48" s="69"/>
    </row>
    <row r="49" spans="1:20" ht="14.25">
      <c r="A49" s="1020"/>
      <c r="B49" s="88"/>
      <c r="C49" s="88"/>
      <c r="D49" s="88"/>
      <c r="E49" s="88"/>
      <c r="F49" s="1020"/>
      <c r="G49" s="1020"/>
      <c r="H49" s="1020"/>
      <c r="I49" s="69"/>
      <c r="J49" s="69"/>
      <c r="K49" s="69"/>
      <c r="L49" s="69"/>
      <c r="M49" s="69"/>
      <c r="N49" s="69"/>
      <c r="O49" s="69"/>
      <c r="P49" s="69"/>
      <c r="Q49" s="69"/>
      <c r="R49" s="69"/>
      <c r="S49" s="69"/>
      <c r="T49" s="69"/>
    </row>
    <row r="50" spans="1:20" ht="14.25">
      <c r="A50" s="1020"/>
      <c r="B50" s="88"/>
      <c r="C50" s="88"/>
      <c r="D50" s="88"/>
      <c r="E50" s="88"/>
      <c r="F50" s="1020"/>
      <c r="G50" s="1020"/>
      <c r="H50" s="1020"/>
      <c r="I50" s="69"/>
      <c r="J50" s="69"/>
      <c r="K50" s="69"/>
      <c r="L50" s="69"/>
      <c r="M50" s="69"/>
      <c r="N50" s="69"/>
      <c r="O50" s="69"/>
      <c r="P50" s="69"/>
      <c r="Q50" s="69"/>
      <c r="R50" s="69"/>
      <c r="S50" s="69"/>
      <c r="T50" s="69"/>
    </row>
    <row r="51" spans="1:20" ht="14.25">
      <c r="A51" s="1020"/>
      <c r="B51" s="88"/>
      <c r="C51" s="88"/>
      <c r="D51" s="88"/>
      <c r="E51" s="88"/>
      <c r="F51" s="1020"/>
      <c r="G51" s="1020"/>
      <c r="H51" s="1020"/>
      <c r="I51" s="69"/>
      <c r="J51" s="69"/>
      <c r="K51" s="69"/>
      <c r="L51" s="69"/>
      <c r="M51" s="69"/>
      <c r="N51" s="69"/>
      <c r="O51" s="69"/>
      <c r="P51" s="69"/>
      <c r="Q51" s="69"/>
      <c r="R51" s="69"/>
      <c r="S51" s="69"/>
      <c r="T51" s="69"/>
    </row>
    <row r="52" spans="1:20">
      <c r="A52" s="1020"/>
      <c r="B52" s="1020"/>
      <c r="C52" s="1020"/>
      <c r="D52" s="1020"/>
      <c r="E52" s="1020"/>
      <c r="F52" s="1020"/>
      <c r="G52" s="1020"/>
      <c r="H52" s="1020"/>
      <c r="I52" s="69"/>
      <c r="J52" s="69"/>
      <c r="K52" s="69"/>
      <c r="L52" s="69"/>
      <c r="M52" s="69"/>
      <c r="N52" s="69"/>
      <c r="O52" s="69"/>
      <c r="P52" s="69"/>
      <c r="Q52" s="69"/>
      <c r="R52" s="69"/>
      <c r="S52" s="69"/>
      <c r="T52" s="69"/>
    </row>
    <row r="53" spans="1:20">
      <c r="A53" s="1020"/>
      <c r="B53" s="1020"/>
      <c r="C53" s="1020"/>
      <c r="D53" s="1020"/>
      <c r="E53" s="1020"/>
      <c r="F53" s="1020"/>
      <c r="G53" s="1020"/>
      <c r="H53" s="1020"/>
      <c r="I53" s="69"/>
      <c r="J53" s="69"/>
      <c r="K53" s="69"/>
      <c r="L53" s="69"/>
      <c r="M53" s="69"/>
      <c r="N53" s="69"/>
      <c r="O53" s="69"/>
      <c r="P53" s="69"/>
      <c r="Q53" s="69"/>
      <c r="R53" s="69"/>
      <c r="S53" s="69"/>
      <c r="T53" s="69"/>
    </row>
    <row r="54" spans="1:20">
      <c r="A54" s="1020"/>
      <c r="B54" s="1020"/>
      <c r="C54" s="1020"/>
      <c r="D54" s="1020"/>
      <c r="E54" s="1020"/>
      <c r="F54" s="1020"/>
      <c r="G54" s="1020"/>
      <c r="H54" s="1020"/>
      <c r="I54" s="69"/>
      <c r="J54" s="69"/>
      <c r="K54" s="69"/>
      <c r="L54" s="69"/>
      <c r="M54" s="69"/>
      <c r="N54" s="69"/>
      <c r="O54" s="69"/>
      <c r="P54" s="69"/>
      <c r="Q54" s="69"/>
      <c r="R54" s="69"/>
      <c r="S54" s="69"/>
      <c r="T54" s="69"/>
    </row>
    <row r="55" spans="1:20">
      <c r="A55" s="69"/>
      <c r="B55" s="69"/>
      <c r="C55" s="69"/>
      <c r="D55" s="69"/>
      <c r="E55" s="69"/>
      <c r="F55" s="69"/>
      <c r="G55" s="69"/>
      <c r="H55" s="69"/>
      <c r="I55" s="69"/>
      <c r="J55" s="69"/>
      <c r="K55" s="69"/>
      <c r="L55" s="69"/>
      <c r="M55" s="69"/>
      <c r="N55" s="69"/>
      <c r="O55" s="69"/>
      <c r="P55" s="69"/>
      <c r="Q55" s="69"/>
      <c r="R55" s="69"/>
      <c r="S55" s="69"/>
      <c r="T55" s="69"/>
    </row>
    <row r="56" spans="1:20">
      <c r="A56" s="69"/>
      <c r="B56" s="69"/>
      <c r="C56" s="69"/>
      <c r="D56" s="69"/>
      <c r="E56" s="69"/>
      <c r="F56" s="69"/>
      <c r="G56" s="69"/>
      <c r="H56" s="69"/>
      <c r="I56" s="69"/>
      <c r="J56" s="69"/>
      <c r="K56" s="69"/>
      <c r="L56" s="69"/>
      <c r="M56" s="69"/>
      <c r="N56" s="69"/>
      <c r="O56" s="69"/>
      <c r="P56" s="69"/>
      <c r="Q56" s="69"/>
      <c r="R56" s="69"/>
      <c r="S56" s="69"/>
      <c r="T56" s="69"/>
    </row>
    <row r="57" spans="1:20">
      <c r="A57" s="69"/>
      <c r="B57" s="69"/>
      <c r="C57" s="69"/>
      <c r="D57" s="69"/>
      <c r="E57" s="69"/>
      <c r="F57" s="69"/>
      <c r="G57" s="69"/>
      <c r="H57" s="69"/>
      <c r="I57" s="69"/>
      <c r="J57" s="69"/>
      <c r="K57" s="69"/>
      <c r="L57" s="69"/>
      <c r="M57" s="69"/>
      <c r="N57" s="69"/>
      <c r="O57" s="69"/>
      <c r="P57" s="69"/>
      <c r="Q57" s="69"/>
      <c r="R57" s="69"/>
      <c r="S57" s="69"/>
      <c r="T57" s="69"/>
    </row>
    <row r="58" spans="1:20">
      <c r="A58" s="69"/>
      <c r="B58" s="69"/>
      <c r="C58" s="69"/>
      <c r="D58" s="69"/>
      <c r="E58" s="69"/>
      <c r="F58" s="69"/>
      <c r="G58" s="69"/>
      <c r="H58" s="69"/>
      <c r="I58" s="69"/>
      <c r="J58" s="69"/>
      <c r="K58" s="69"/>
      <c r="L58" s="69"/>
      <c r="M58" s="69"/>
      <c r="N58" s="69"/>
      <c r="O58" s="69"/>
      <c r="P58" s="69"/>
      <c r="Q58" s="69"/>
      <c r="R58" s="69"/>
      <c r="S58" s="69"/>
      <c r="T58" s="69"/>
    </row>
    <row r="59" spans="1:20">
      <c r="A59" s="69"/>
      <c r="B59" s="69"/>
      <c r="C59" s="69"/>
      <c r="D59" s="69"/>
      <c r="E59" s="69"/>
      <c r="F59" s="69"/>
      <c r="G59" s="69"/>
      <c r="H59" s="69"/>
      <c r="I59" s="69"/>
      <c r="J59" s="69"/>
      <c r="K59" s="69"/>
      <c r="L59" s="69"/>
      <c r="M59" s="69"/>
      <c r="N59" s="69"/>
      <c r="O59" s="69"/>
      <c r="P59" s="69"/>
      <c r="Q59" s="69"/>
      <c r="R59" s="69"/>
      <c r="S59" s="69"/>
      <c r="T59" s="69"/>
    </row>
    <row r="60" spans="1:20">
      <c r="A60" s="69"/>
      <c r="B60" s="69"/>
      <c r="C60" s="69"/>
      <c r="D60" s="69"/>
      <c r="E60" s="69"/>
      <c r="F60" s="69"/>
      <c r="G60" s="69"/>
      <c r="H60" s="69"/>
      <c r="I60" s="69"/>
      <c r="J60" s="69"/>
      <c r="K60" s="69"/>
      <c r="L60" s="69"/>
      <c r="M60" s="69"/>
      <c r="N60" s="69"/>
      <c r="O60" s="69"/>
      <c r="P60" s="69"/>
      <c r="Q60" s="69"/>
      <c r="R60" s="69"/>
      <c r="S60" s="69"/>
      <c r="T60" s="69"/>
    </row>
    <row r="61" spans="1:20">
      <c r="A61" s="69"/>
      <c r="B61" s="69"/>
      <c r="C61" s="69"/>
      <c r="D61" s="69"/>
      <c r="E61" s="69"/>
      <c r="F61" s="69"/>
      <c r="G61" s="69"/>
      <c r="H61" s="69"/>
      <c r="I61" s="69"/>
      <c r="J61" s="69"/>
      <c r="K61" s="69"/>
      <c r="L61" s="69"/>
      <c r="M61" s="69"/>
      <c r="N61" s="69"/>
      <c r="O61" s="69"/>
      <c r="P61" s="69"/>
      <c r="Q61" s="69"/>
      <c r="R61" s="69"/>
      <c r="S61" s="69"/>
      <c r="T61" s="69"/>
    </row>
    <row r="62" spans="1:20">
      <c r="A62" s="69"/>
      <c r="B62" s="69"/>
      <c r="C62" s="69"/>
      <c r="D62" s="69"/>
      <c r="E62" s="69"/>
      <c r="F62" s="69"/>
      <c r="G62" s="69"/>
      <c r="H62" s="69"/>
      <c r="I62" s="69"/>
      <c r="J62" s="69"/>
      <c r="K62" s="69"/>
      <c r="L62" s="69"/>
      <c r="M62" s="69"/>
      <c r="N62" s="69"/>
      <c r="O62" s="69"/>
      <c r="P62" s="69"/>
      <c r="Q62" s="69"/>
      <c r="R62" s="69"/>
      <c r="S62" s="69"/>
      <c r="T62" s="69"/>
    </row>
    <row r="63" spans="1:20">
      <c r="A63" s="69"/>
      <c r="B63" s="69"/>
      <c r="C63" s="69"/>
      <c r="D63" s="69"/>
      <c r="E63" s="69"/>
      <c r="F63" s="69"/>
      <c r="G63" s="69"/>
      <c r="H63" s="69"/>
      <c r="I63" s="69"/>
      <c r="J63" s="69"/>
      <c r="K63" s="69"/>
      <c r="L63" s="69"/>
      <c r="M63" s="69"/>
      <c r="N63" s="69"/>
      <c r="O63" s="69"/>
      <c r="P63" s="69"/>
      <c r="Q63" s="69"/>
      <c r="R63" s="69"/>
      <c r="S63" s="69"/>
      <c r="T63" s="69"/>
    </row>
    <row r="64" spans="1:20">
      <c r="A64" s="69"/>
      <c r="B64" s="69"/>
      <c r="C64" s="69"/>
      <c r="D64" s="69"/>
      <c r="E64" s="69"/>
      <c r="F64" s="69"/>
      <c r="G64" s="69"/>
      <c r="H64" s="69"/>
      <c r="I64" s="69"/>
      <c r="J64" s="69"/>
      <c r="K64" s="69"/>
      <c r="L64" s="69"/>
      <c r="M64" s="69"/>
      <c r="N64" s="69"/>
      <c r="O64" s="69"/>
      <c r="P64" s="69"/>
      <c r="Q64" s="69"/>
      <c r="R64" s="69"/>
      <c r="S64" s="69"/>
      <c r="T64" s="69"/>
    </row>
    <row r="65" spans="1:20">
      <c r="A65" s="69"/>
      <c r="B65" s="69"/>
      <c r="C65" s="69"/>
      <c r="D65" s="69"/>
      <c r="E65" s="69"/>
      <c r="F65" s="69"/>
      <c r="G65" s="69"/>
      <c r="H65" s="69"/>
      <c r="I65" s="69"/>
      <c r="J65" s="69"/>
      <c r="K65" s="69"/>
      <c r="L65" s="69"/>
      <c r="M65" s="69"/>
      <c r="N65" s="69"/>
      <c r="O65" s="69"/>
      <c r="P65" s="69"/>
      <c r="Q65" s="69"/>
      <c r="R65" s="69"/>
      <c r="S65" s="69"/>
      <c r="T65" s="69"/>
    </row>
    <row r="66" spans="1:20">
      <c r="A66" s="69"/>
      <c r="B66" s="69"/>
      <c r="C66" s="69"/>
      <c r="D66" s="69"/>
      <c r="E66" s="69"/>
      <c r="F66" s="69"/>
      <c r="G66" s="69"/>
      <c r="H66" s="69"/>
      <c r="I66" s="69"/>
      <c r="J66" s="69"/>
      <c r="K66" s="69"/>
      <c r="L66" s="69"/>
      <c r="M66" s="69"/>
      <c r="N66" s="69"/>
      <c r="O66" s="69"/>
      <c r="P66" s="69"/>
      <c r="Q66" s="69"/>
      <c r="R66" s="69"/>
      <c r="S66" s="69"/>
      <c r="T66" s="69"/>
    </row>
    <row r="67" spans="1:20">
      <c r="A67" s="69"/>
      <c r="B67" s="69"/>
      <c r="C67" s="69"/>
      <c r="D67" s="69"/>
      <c r="E67" s="69"/>
      <c r="F67" s="69"/>
      <c r="G67" s="69"/>
      <c r="H67" s="69"/>
      <c r="I67" s="69"/>
      <c r="J67" s="69"/>
      <c r="K67" s="69"/>
      <c r="L67" s="69"/>
      <c r="M67" s="69"/>
      <c r="N67" s="69"/>
      <c r="O67" s="69"/>
      <c r="P67" s="69"/>
      <c r="Q67" s="69"/>
      <c r="R67" s="69"/>
      <c r="S67" s="69"/>
      <c r="T67" s="69"/>
    </row>
    <row r="68" spans="1:20">
      <c r="A68" s="69"/>
      <c r="B68" s="69"/>
      <c r="C68" s="69"/>
      <c r="D68" s="69"/>
      <c r="E68" s="69"/>
      <c r="F68" s="69"/>
      <c r="G68" s="69"/>
      <c r="H68" s="69"/>
      <c r="I68" s="69"/>
      <c r="J68" s="69"/>
      <c r="K68" s="69"/>
      <c r="L68" s="69"/>
      <c r="M68" s="69"/>
      <c r="N68" s="69"/>
      <c r="O68" s="69"/>
      <c r="P68" s="69"/>
      <c r="Q68" s="69"/>
      <c r="R68" s="69"/>
      <c r="S68" s="69"/>
      <c r="T68" s="69"/>
    </row>
    <row r="69" spans="1:20">
      <c r="A69" s="69"/>
      <c r="B69" s="69"/>
      <c r="C69" s="69"/>
      <c r="D69" s="69"/>
      <c r="E69" s="69"/>
      <c r="F69" s="69"/>
      <c r="G69" s="69"/>
      <c r="H69" s="69"/>
      <c r="I69" s="69"/>
      <c r="J69" s="69"/>
      <c r="K69" s="69"/>
      <c r="L69" s="69"/>
      <c r="M69" s="69"/>
      <c r="N69" s="69"/>
      <c r="O69" s="69"/>
      <c r="P69" s="69"/>
      <c r="Q69" s="69"/>
      <c r="R69" s="69"/>
      <c r="S69" s="69"/>
      <c r="T69" s="69"/>
    </row>
    <row r="70" spans="1:20">
      <c r="A70" s="69"/>
      <c r="B70" s="69"/>
      <c r="C70" s="69"/>
      <c r="D70" s="69"/>
      <c r="E70" s="69"/>
      <c r="F70" s="69"/>
      <c r="G70" s="69"/>
      <c r="H70" s="69"/>
      <c r="I70" s="69"/>
      <c r="J70" s="69"/>
      <c r="K70" s="69"/>
      <c r="L70" s="69"/>
      <c r="M70" s="69"/>
      <c r="N70" s="69"/>
      <c r="O70" s="69"/>
      <c r="P70" s="69"/>
      <c r="Q70" s="69"/>
      <c r="R70" s="69"/>
      <c r="S70" s="69"/>
      <c r="T70" s="69"/>
    </row>
    <row r="71" spans="1:20">
      <c r="A71" s="69"/>
      <c r="B71" s="69"/>
      <c r="C71" s="69"/>
      <c r="D71" s="69"/>
      <c r="E71" s="69"/>
      <c r="F71" s="69"/>
      <c r="G71" s="69"/>
      <c r="H71" s="69"/>
      <c r="I71" s="69"/>
      <c r="J71" s="69"/>
      <c r="K71" s="69"/>
      <c r="L71" s="69"/>
      <c r="M71" s="69"/>
      <c r="N71" s="69"/>
      <c r="O71" s="69"/>
      <c r="P71" s="69"/>
      <c r="Q71" s="69"/>
      <c r="R71" s="69"/>
      <c r="S71" s="69"/>
      <c r="T71" s="69"/>
    </row>
    <row r="72" spans="1:20">
      <c r="A72" s="69"/>
      <c r="B72" s="69"/>
      <c r="C72" s="69"/>
      <c r="D72" s="69"/>
      <c r="E72" s="69"/>
      <c r="F72" s="69"/>
      <c r="G72" s="69"/>
      <c r="H72" s="69"/>
      <c r="I72" s="69"/>
      <c r="J72" s="69"/>
      <c r="K72" s="69"/>
      <c r="L72" s="69"/>
      <c r="M72" s="69"/>
      <c r="N72" s="69"/>
      <c r="O72" s="69"/>
      <c r="P72" s="69"/>
      <c r="Q72" s="69"/>
      <c r="R72" s="69"/>
      <c r="S72" s="69"/>
      <c r="T72" s="69"/>
    </row>
    <row r="73" spans="1:20">
      <c r="A73" s="69"/>
      <c r="B73" s="69"/>
      <c r="C73" s="69"/>
      <c r="D73" s="69"/>
      <c r="E73" s="69"/>
      <c r="F73" s="69"/>
      <c r="G73" s="69"/>
      <c r="H73" s="69"/>
      <c r="I73" s="69"/>
      <c r="J73" s="69"/>
      <c r="K73" s="69"/>
      <c r="L73" s="69"/>
      <c r="M73" s="69"/>
      <c r="N73" s="69"/>
      <c r="O73" s="69"/>
      <c r="P73" s="69"/>
      <c r="Q73" s="69"/>
      <c r="R73" s="69"/>
      <c r="S73" s="69"/>
      <c r="T73" s="69"/>
    </row>
    <row r="74" spans="1:20">
      <c r="A74" s="69"/>
      <c r="B74" s="69"/>
      <c r="C74" s="69"/>
      <c r="D74" s="69"/>
      <c r="E74" s="69"/>
      <c r="F74" s="69"/>
      <c r="G74" s="69"/>
      <c r="H74" s="69"/>
      <c r="I74" s="69"/>
      <c r="J74" s="69"/>
      <c r="K74" s="69"/>
      <c r="L74" s="69"/>
      <c r="M74" s="69"/>
      <c r="N74" s="69"/>
      <c r="O74" s="69"/>
      <c r="P74" s="69"/>
      <c r="Q74" s="69"/>
      <c r="R74" s="69"/>
      <c r="S74" s="69"/>
      <c r="T74" s="69"/>
    </row>
    <row r="75" spans="1:20">
      <c r="A75" s="69"/>
      <c r="B75" s="69"/>
      <c r="C75" s="69"/>
      <c r="D75" s="69"/>
      <c r="E75" s="69"/>
      <c r="F75" s="69"/>
      <c r="G75" s="69"/>
      <c r="H75" s="69"/>
      <c r="I75" s="69"/>
      <c r="J75" s="69"/>
      <c r="K75" s="69"/>
      <c r="L75" s="69"/>
      <c r="M75" s="69"/>
      <c r="N75" s="69"/>
      <c r="O75" s="69"/>
      <c r="P75" s="69"/>
      <c r="Q75" s="69"/>
      <c r="R75" s="69"/>
      <c r="S75" s="69"/>
      <c r="T75" s="69"/>
    </row>
    <row r="76" spans="1:20">
      <c r="A76" s="69"/>
      <c r="B76" s="69"/>
      <c r="C76" s="69"/>
      <c r="D76" s="69"/>
      <c r="E76" s="69"/>
      <c r="F76" s="69"/>
      <c r="G76" s="69"/>
      <c r="H76" s="69"/>
      <c r="I76" s="69"/>
      <c r="J76" s="69"/>
      <c r="K76" s="69"/>
      <c r="L76" s="69"/>
      <c r="M76" s="69"/>
      <c r="N76" s="69"/>
      <c r="O76" s="69"/>
      <c r="P76" s="69"/>
      <c r="Q76" s="69"/>
      <c r="R76" s="69"/>
      <c r="S76" s="69"/>
      <c r="T76" s="69"/>
    </row>
    <row r="77" spans="1:20">
      <c r="A77" s="69"/>
      <c r="B77" s="69"/>
      <c r="C77" s="69"/>
      <c r="D77" s="69"/>
      <c r="E77" s="69"/>
      <c r="F77" s="69"/>
      <c r="G77" s="69"/>
      <c r="H77" s="69"/>
      <c r="I77" s="69"/>
      <c r="J77" s="69"/>
      <c r="K77" s="69"/>
      <c r="L77" s="69"/>
      <c r="M77" s="69"/>
      <c r="N77" s="69"/>
      <c r="O77" s="69"/>
      <c r="P77" s="69"/>
      <c r="Q77" s="69"/>
      <c r="R77" s="69"/>
      <c r="S77" s="69"/>
      <c r="T77" s="69"/>
    </row>
    <row r="78" spans="1:20">
      <c r="A78" s="69"/>
      <c r="B78" s="69"/>
      <c r="C78" s="69"/>
      <c r="D78" s="69"/>
      <c r="E78" s="69"/>
      <c r="F78" s="69"/>
      <c r="G78" s="69"/>
      <c r="H78" s="69"/>
      <c r="I78" s="69"/>
      <c r="J78" s="69"/>
      <c r="K78" s="69"/>
      <c r="L78" s="69"/>
      <c r="M78" s="69"/>
      <c r="N78" s="69"/>
      <c r="O78" s="69"/>
      <c r="P78" s="69"/>
      <c r="Q78" s="69"/>
      <c r="R78" s="69"/>
      <c r="S78" s="69"/>
      <c r="T78" s="69"/>
    </row>
    <row r="79" spans="1:20">
      <c r="A79" s="69"/>
      <c r="B79" s="69"/>
      <c r="C79" s="69"/>
      <c r="D79" s="69"/>
      <c r="E79" s="69"/>
      <c r="F79" s="69"/>
      <c r="G79" s="69"/>
      <c r="H79" s="69"/>
      <c r="I79" s="69"/>
      <c r="J79" s="69"/>
      <c r="K79" s="69"/>
      <c r="L79" s="69"/>
      <c r="M79" s="69"/>
      <c r="N79" s="69"/>
      <c r="O79" s="69"/>
      <c r="P79" s="69"/>
      <c r="Q79" s="69"/>
      <c r="R79" s="69"/>
      <c r="S79" s="69"/>
      <c r="T79" s="69"/>
    </row>
    <row r="80" spans="1:20">
      <c r="A80" s="69"/>
      <c r="B80" s="69"/>
      <c r="C80" s="69"/>
      <c r="D80" s="69"/>
      <c r="E80" s="69"/>
      <c r="F80" s="69"/>
      <c r="G80" s="69"/>
      <c r="H80" s="69"/>
      <c r="I80" s="69"/>
      <c r="J80" s="69"/>
      <c r="K80" s="69"/>
      <c r="L80" s="69"/>
      <c r="M80" s="69"/>
      <c r="N80" s="69"/>
      <c r="O80" s="69"/>
      <c r="P80" s="69"/>
      <c r="Q80" s="69"/>
      <c r="R80" s="69"/>
      <c r="S80" s="69"/>
      <c r="T80" s="69"/>
    </row>
  </sheetData>
  <sheetProtection password="92D1" sheet="1" formatCells="0" formatColumns="0" formatRows="0"/>
  <mergeCells count="17">
    <mergeCell ref="D7:I7"/>
    <mergeCell ref="A27:H28"/>
    <mergeCell ref="A1:J1"/>
    <mergeCell ref="A3:E3"/>
    <mergeCell ref="F3:I3"/>
    <mergeCell ref="F6:I6"/>
    <mergeCell ref="A25:T25"/>
    <mergeCell ref="A24:T24"/>
    <mergeCell ref="A11:S11"/>
    <mergeCell ref="A12:S12"/>
    <mergeCell ref="I45:L45"/>
    <mergeCell ref="I27:S28"/>
    <mergeCell ref="B45:E45"/>
    <mergeCell ref="A31:A33"/>
    <mergeCell ref="H34:M34"/>
    <mergeCell ref="I41:L41"/>
    <mergeCell ref="I43:L43"/>
  </mergeCells>
  <phoneticPr fontId="37" type="noConversion"/>
  <conditionalFormatting sqref="E16">
    <cfRule type="cellIs" dxfId="80" priority="6" stopIfTrue="1" operator="equal">
      <formula>$S$5</formula>
    </cfRule>
  </conditionalFormatting>
  <conditionalFormatting sqref="H16">
    <cfRule type="cellIs" dxfId="79" priority="5" stopIfTrue="1" operator="equal">
      <formula>$S$5</formula>
    </cfRule>
  </conditionalFormatting>
  <conditionalFormatting sqref="E18">
    <cfRule type="cellIs" dxfId="78" priority="4" stopIfTrue="1" operator="equal">
      <formula>$S$5</formula>
    </cfRule>
  </conditionalFormatting>
  <conditionalFormatting sqref="H18">
    <cfRule type="cellIs" dxfId="77" priority="3" stopIfTrue="1" operator="equal">
      <formula>$S$5</formula>
    </cfRule>
  </conditionalFormatting>
  <conditionalFormatting sqref="E22">
    <cfRule type="cellIs" dxfId="76" priority="2" stopIfTrue="1" operator="equal">
      <formula>$S$5</formula>
    </cfRule>
  </conditionalFormatting>
  <conditionalFormatting sqref="H22">
    <cfRule type="cellIs" dxfId="75" priority="1" stopIfTrue="1" operator="equal">
      <formula>$S$5</formula>
    </cfRule>
  </conditionalFormatting>
  <dataValidations count="3">
    <dataValidation type="list" allowBlank="1" showInputMessage="1" showErrorMessage="1" sqref="I38:I39">
      <formula1>"Select,Yes,No"</formula1>
    </dataValidation>
    <dataValidation type="list" allowBlank="1" showInputMessage="1" showErrorMessage="1" sqref="E2:I2">
      <formula1>"Select,USD,EUR"</formula1>
    </dataValidation>
    <dataValidation type="list" allowBlank="1" showInputMessage="1" showErrorMessage="1" sqref="C21">
      <formula1>"Select ,1M, 2M, 3M"</formula1>
    </dataValidation>
  </dataValidations>
  <printOptions horizontalCentered="1"/>
  <pageMargins left="0.74803149606299213" right="0.74803149606299213" top="0.59055118110236227" bottom="0.59055118110236227" header="0.51181102362204722" footer="0.51181102362204722"/>
  <pageSetup paperSize="9" scale="48" fitToHeight="0" orientation="landscape" cellComments="asDisplayed" r:id="rId1"/>
  <headerFooter alignWithMargins="0">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67</vt:i4>
      </vt:variant>
    </vt:vector>
  </HeadingPairs>
  <TitlesOfParts>
    <vt:vector size="104" baseType="lpstr">
      <vt:lpstr>Cover Sheet</vt:lpstr>
      <vt:lpstr>PR_Programmatic Progress_1A</vt:lpstr>
      <vt:lpstr>PR_Programmatic Progress_1B</vt:lpstr>
      <vt:lpstr>PR_Grant Management_2</vt:lpstr>
      <vt:lpstr>PR_Total PR Cash Outflow_3A</vt:lpstr>
      <vt:lpstr>EFR HIV AIDS Financial Data_3B</vt:lpstr>
      <vt:lpstr>PR_Procurement Info_4</vt:lpstr>
      <vt:lpstr>PR_Cash Reconciliation_5A</vt:lpstr>
      <vt:lpstr>PR_Disbursement Request_5B</vt:lpstr>
      <vt:lpstr>PR_Overall Performance_6</vt:lpstr>
      <vt:lpstr>PR_Cash Request_7A&amp;B</vt:lpstr>
      <vt:lpstr>PR_Bank Details_7C</vt:lpstr>
      <vt:lpstr>PR_Annex_SR-Financials</vt:lpstr>
      <vt:lpstr>Checklist</vt:lpstr>
      <vt:lpstr>LFA_Programmatic Progress_1A</vt:lpstr>
      <vt:lpstr>LFA_Programmatic Progress_1B</vt:lpstr>
      <vt:lpstr>ANNEXURE A (RATING)</vt:lpstr>
      <vt:lpstr>LFA_Grant Management_2</vt:lpstr>
      <vt:lpstr>LFA_Total PR Cash Outflow_3A</vt:lpstr>
      <vt:lpstr>LFA_EFR Review_3B</vt:lpstr>
      <vt:lpstr>LFA_Procurement Info_4</vt:lpstr>
      <vt:lpstr>LFA_Findings&amp;Recommendations</vt:lpstr>
      <vt:lpstr>LFA_Cash Reconciliation_5A</vt:lpstr>
      <vt:lpstr>Annexure_B_Cashflow</vt:lpstr>
      <vt:lpstr>LFA_Disbursement Recommend_5B</vt:lpstr>
      <vt:lpstr>Sheet1</vt:lpstr>
      <vt:lpstr>LFA_Overall Performance_6</vt:lpstr>
      <vt:lpstr>LFA_DisbursementRecommendation7</vt:lpstr>
      <vt:lpstr>LFA_Bank Details_7C</vt:lpstr>
      <vt:lpstr>LFA_Annex-SR Financials</vt:lpstr>
      <vt:lpstr>Annexure_D_CuuVAR </vt:lpstr>
      <vt:lpstr>Annexure_C_CurVAR</vt:lpstr>
      <vt:lpstr>Memo HIV</vt:lpstr>
      <vt:lpstr>Memo TB</vt:lpstr>
      <vt:lpstr>Memo Malaria</vt:lpstr>
      <vt:lpstr>Definitions-lists-EFR</vt:lpstr>
      <vt:lpstr>Sheet2</vt:lpstr>
      <vt:lpstr>E</vt:lpstr>
      <vt:lpstr>ES</vt:lpstr>
      <vt:lpstr>HIVII</vt:lpstr>
      <vt:lpstr>HIVOI</vt:lpstr>
      <vt:lpstr>HIVSDA</vt:lpstr>
      <vt:lpstr>HIVSource</vt:lpstr>
      <vt:lpstr>List_IE</vt:lpstr>
      <vt:lpstr>ListHIV</vt:lpstr>
      <vt:lpstr>ListMal</vt:lpstr>
      <vt:lpstr>ListTB</vt:lpstr>
      <vt:lpstr>MalariaII</vt:lpstr>
      <vt:lpstr>MalariaOI</vt:lpstr>
      <vt:lpstr>MalariaSDA</vt:lpstr>
      <vt:lpstr>MalariaSource</vt:lpstr>
      <vt:lpstr>Please_Select</vt:lpstr>
      <vt:lpstr>'PR_Programmatic Progress_1B'!PR_SDA</vt:lpstr>
      <vt:lpstr>Annexure_B_Cashflow!Print_Area</vt:lpstr>
      <vt:lpstr>Checklist!Print_Area</vt:lpstr>
      <vt:lpstr>'Cover Sheet'!Print_Area</vt:lpstr>
      <vt:lpstr>'EFR HIV AIDS Financial Data_3B'!Print_Area</vt:lpstr>
      <vt:lpstr>'LFA_Annex-SR Financials'!Print_Area</vt:lpstr>
      <vt:lpstr>'LFA_Bank Details_7C'!Print_Area</vt:lpstr>
      <vt:lpstr>'LFA_Cash Reconciliation_5A'!Print_Area</vt:lpstr>
      <vt:lpstr>'LFA_Disbursement Recommend_5B'!Print_Area</vt:lpstr>
      <vt:lpstr>LFA_DisbursementRecommendation7!Print_Area</vt:lpstr>
      <vt:lpstr>'LFA_EFR Review_3B'!Print_Area</vt:lpstr>
      <vt:lpstr>'LFA_Findings&amp;Recommendations'!Print_Area</vt:lpstr>
      <vt:lpstr>'LFA_Grant Management_2'!Print_Area</vt:lpstr>
      <vt:lpstr>'LFA_Overall Performance_6'!Print_Area</vt:lpstr>
      <vt:lpstr>'LFA_Procurement Info_4'!Print_Area</vt:lpstr>
      <vt:lpstr>'LFA_Programmatic Progress_1A'!Print_Area</vt:lpstr>
      <vt:lpstr>'LFA_Total PR Cash Outflow_3A'!Print_Area</vt:lpstr>
      <vt:lpstr>'Memo HIV'!Print_Area</vt:lpstr>
      <vt:lpstr>'Memo Malaria'!Print_Area</vt:lpstr>
      <vt:lpstr>'Memo TB'!Print_Area</vt:lpstr>
      <vt:lpstr>'PR_Annex_SR-Financials'!Print_Area</vt:lpstr>
      <vt:lpstr>'PR_Bank Details_7C'!Print_Area</vt:lpstr>
      <vt:lpstr>'PR_Cash Reconciliation_5A'!Print_Area</vt:lpstr>
      <vt:lpstr>'PR_Cash Request_7A&amp;B'!Print_Area</vt:lpstr>
      <vt:lpstr>'PR_Disbursement Request_5B'!Print_Area</vt:lpstr>
      <vt:lpstr>'PR_Grant Management_2'!Print_Area</vt:lpstr>
      <vt:lpstr>'PR_Overall Performance_6'!Print_Area</vt:lpstr>
      <vt:lpstr>'PR_Procurement Info_4'!Print_Area</vt:lpstr>
      <vt:lpstr>'PR_Programmatic Progress_1A'!Print_Area</vt:lpstr>
      <vt:lpstr>'PR_Programmatic Progress_1B'!Print_Area</vt:lpstr>
      <vt:lpstr>'PR_Total PR Cash Outflow_3A'!Print_Area</vt:lpstr>
      <vt:lpstr>'LFA_Annex-SR Financials'!Print_Titles</vt:lpstr>
      <vt:lpstr>'LFA_Cash Reconciliation_5A'!Print_Titles</vt:lpstr>
      <vt:lpstr>'LFA_Disbursement Recommend_5B'!Print_Titles</vt:lpstr>
      <vt:lpstr>LFA_DisbursementRecommendation7!Print_Titles</vt:lpstr>
      <vt:lpstr>'LFA_Findings&amp;Recommendations'!Print_Titles</vt:lpstr>
      <vt:lpstr>'LFA_Grant Management_2'!Print_Titles</vt:lpstr>
      <vt:lpstr>'LFA_Overall Performance_6'!Print_Titles</vt:lpstr>
      <vt:lpstr>'LFA_Procurement Info_4'!Print_Titles</vt:lpstr>
      <vt:lpstr>'LFA_Programmatic Progress_1A'!Print_Titles</vt:lpstr>
      <vt:lpstr>'PR_Annex_SR-Financials'!Print_Titles</vt:lpstr>
      <vt:lpstr>'PR_Grant Management_2'!Print_Titles</vt:lpstr>
      <vt:lpstr>'PR_Programmatic Progress_1A'!Print_Titles</vt:lpstr>
      <vt:lpstr>'PR_Total PR Cash Outflow_3A'!Print_Titles</vt:lpstr>
      <vt:lpstr>PS</vt:lpstr>
      <vt:lpstr>SDAList</vt:lpstr>
      <vt:lpstr>Select</vt:lpstr>
      <vt:lpstr>TBII</vt:lpstr>
      <vt:lpstr>TBOI</vt:lpstr>
      <vt:lpstr>TBSDA</vt:lpstr>
      <vt:lpstr>TBSource</vt:lpstr>
      <vt:lpstr>'PR_Programmatic Progress_1B'!TEST</vt:lpstr>
    </vt:vector>
  </TitlesOfParts>
  <Company>The Global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Houtan Afkhami</dc:creator>
  <cp:lastModifiedBy>JigmeThinley</cp:lastModifiedBy>
  <cp:lastPrinted>2012-03-21T04:47:04Z</cp:lastPrinted>
  <dcterms:created xsi:type="dcterms:W3CDTF">2005-11-03T14:33:15Z</dcterms:created>
  <dcterms:modified xsi:type="dcterms:W3CDTF">2012-03-21T10:24:01Z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0x0101005FBB0C72A9D87144A7B972E58A0B54D1</vt:lpwstr>
  </property>
</Properties>
</file>