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5255" windowHeight="6045" activeTab="0"/>
  </bookViews>
  <sheets>
    <sheet name="Phase 2 summary budget" sheetId="1" r:id="rId1"/>
  </sheets>
  <externalReferences>
    <externalReference r:id="rId4"/>
    <externalReference r:id="rId5"/>
    <externalReference r:id="rId6"/>
    <externalReference r:id="rId7"/>
    <externalReference r:id="rId8"/>
    <externalReference r:id="rId9"/>
    <externalReference r:id="rId10"/>
  </externalReferences>
  <definedNames>
    <definedName name="listie">'[2]Definitions'!$B$31:$B$38</definedName>
    <definedName name="MacrocategoriesALL">'[2]Definitions'!$B$127:$B$149</definedName>
    <definedName name="_xlnm.Print_Area" localSheetId="0">'Phase 2 summary budget'!$A$1:$U$73</definedName>
    <definedName name="yeshey">'[3]Definitions'!$B$127:$B$149</definedName>
  </definedNames>
  <calcPr fullCalcOnLoad="1"/>
</workbook>
</file>

<file path=xl/comments1.xml><?xml version="1.0" encoding="utf-8"?>
<comments xmlns="http://schemas.openxmlformats.org/spreadsheetml/2006/main">
  <authors>
    <author>mriveromartinez</author>
    <author>ppower</author>
  </authors>
  <commentList>
    <comment ref="S16" authorId="0">
      <text>
        <r>
          <rPr>
            <b/>
            <sz val="12"/>
            <rFont val="Tahoma"/>
            <family val="2"/>
          </rPr>
          <t>If this column is not applicable (i.e. Phase 1); please leave it blank. THANKS</t>
        </r>
        <r>
          <rPr>
            <sz val="12"/>
            <rFont val="Tahoma"/>
            <family val="2"/>
          </rPr>
          <t xml:space="preserve">
</t>
        </r>
      </text>
    </comment>
    <comment ref="B30" authorId="1">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D59" authorId="1">
      <text>
        <r>
          <rPr>
            <sz val="10"/>
            <color indexed="10"/>
            <rFont val="Tahoma"/>
            <family val="2"/>
          </rPr>
          <t>If a Faith Based Organization is also a NGO or CBO. It should be selected as an FBO!</t>
        </r>
        <r>
          <rPr>
            <sz val="8"/>
            <rFont val="Tahoma"/>
            <family val="2"/>
          </rPr>
          <t xml:space="preserve">
</t>
        </r>
      </text>
    </comment>
  </commentList>
</comments>
</file>

<file path=xl/sharedStrings.xml><?xml version="1.0" encoding="utf-8"?>
<sst xmlns="http://schemas.openxmlformats.org/spreadsheetml/2006/main" count="129" uniqueCount="100">
  <si>
    <t>SDA 1.1: Providing life-skills-based HIV/AIDS education in 140 schools (grade 7 and above)</t>
  </si>
  <si>
    <t>SDA 1.3: Reaching youth through the private sector in 8 towns via 50 hotels, entertainment centres and night clubs</t>
  </si>
  <si>
    <t>SDA 1.4: Establishing youth-friendly health services in 30 hospitals</t>
  </si>
  <si>
    <t>SDA 1.5: Intensifying HIV prevention among 10,000 uniformed personnel and their families</t>
  </si>
  <si>
    <t>SDA 1.6: Increasing HIV awareness among members of faith-based organizations</t>
  </si>
  <si>
    <t>SDA 1.7: Providing services for CSWs, IDUs, and MSMs through NGOs</t>
  </si>
  <si>
    <t>SDA 1.8: Expanding prevention packages to the BHU and the community level with CT services to two additional VCT centers, 176 BHUs and 16 army health units</t>
  </si>
  <si>
    <t>SDA 1.9 IEC activities</t>
  </si>
  <si>
    <t>SDA 2.1: Strengthening STI/HIV/AIDS pre-service training and continuous education at the Royal Institute of Health Sciences.</t>
  </si>
  <si>
    <t xml:space="preserve">SDA 2.2:  Strengthening national capacity for programme monitoring and evaluation </t>
  </si>
  <si>
    <t>SDA 2.3:  Strengthening the management and technical capacity of the NACP</t>
  </si>
  <si>
    <t>SDA 2.4:  Building the capacity of non-govermental sectors as partner in the national HIV/AIDS response</t>
  </si>
  <si>
    <t>SDA 3. Ensuring care &amp; treatment</t>
  </si>
  <si>
    <t>Year 5</t>
  </si>
  <si>
    <t>HIV_AIDS</t>
  </si>
  <si>
    <t>Please Select Disease component first…</t>
  </si>
  <si>
    <t>(formerly Attachment A)</t>
  </si>
  <si>
    <t>Program Details</t>
  </si>
  <si>
    <t>Country</t>
  </si>
  <si>
    <t>Bhutan</t>
  </si>
  <si>
    <t>HIV_TB</t>
  </si>
  <si>
    <t>Grant No.</t>
  </si>
  <si>
    <t>BTN 607-G03- H</t>
  </si>
  <si>
    <t>Malaria</t>
  </si>
  <si>
    <t>PR</t>
  </si>
  <si>
    <t>Ministry of Health</t>
  </si>
  <si>
    <t>Tuberculosis</t>
  </si>
  <si>
    <t>Currency</t>
  </si>
  <si>
    <t>USD</t>
  </si>
  <si>
    <t>HSS</t>
  </si>
  <si>
    <t>Grant Cycle phase</t>
  </si>
  <si>
    <t>Phase 2</t>
  </si>
  <si>
    <t>(Please indicate Periods covered by this budget in the cells below, as presented in the Performance Framework)</t>
  </si>
  <si>
    <t>Period Covered: from</t>
  </si>
  <si>
    <t>Period Covered: to</t>
  </si>
  <si>
    <t>A-  SUMMARY BUDGET BREAKDOWN BY EXPENDITURE CATEGORY</t>
  </si>
  <si>
    <t>#</t>
  </si>
  <si>
    <t>Category</t>
  </si>
  <si>
    <t xml:space="preserve">Total </t>
  </si>
  <si>
    <t>TOTAL</t>
  </si>
  <si>
    <t>%</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</si>
  <si>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</si>
  <si>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</si>
  <si>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</si>
  <si>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</si>
  <si>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</si>
  <si>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</si>
  <si>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</si>
  <si>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</si>
  <si>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Monitoring and Evaluation</t>
  </si>
  <si>
    <t>Living Support to Clients/Target Population</t>
  </si>
  <si>
    <t>Planning and Administration</t>
  </si>
  <si>
    <t>Overheads</t>
  </si>
  <si>
    <t>Other</t>
  </si>
  <si>
    <t>TOTAL*</t>
  </si>
  <si>
    <t>B. SUMMARY BUDGET BREAKDOWN BY PROGRAM ACTIVITY</t>
  </si>
  <si>
    <t xml:space="preserve">Macro-category </t>
  </si>
  <si>
    <t>Objectives</t>
  </si>
  <si>
    <t>Service Delivery Area**</t>
  </si>
  <si>
    <t>HIV:Prevention</t>
  </si>
  <si>
    <t>SDA 1.2: Providing life-skills-based HIV/AIDS education to out-of school youth through 670 NFE centres and department of employment</t>
  </si>
  <si>
    <t>Please Select…</t>
  </si>
  <si>
    <t>HIV:Supportive Environment</t>
  </si>
  <si>
    <t>HIV:Health Systems Strengthening (HSS)</t>
  </si>
  <si>
    <t>HIV:Care and Support</t>
  </si>
  <si>
    <t>HIV: Treatment</t>
  </si>
  <si>
    <t>To add additional rows, right click the row number to the left of the row above the row for TOTAL and select copy, then over the same number, right click again and select Insert Copied Cells. WARNING: Inserting Rows without copying a row as described above will cause the formula in the columns to become invalid and will mean the overall information will be inaccurate.</t>
  </si>
  <si>
    <r>
      <t>** For the purposes of this report, the SDA Program management and administration should be included in the Supportive Environment Macro Category</t>
    </r>
    <r>
      <rPr>
        <sz val="8"/>
        <rFont val="Arial"/>
        <family val="2"/>
      </rPr>
      <t>.</t>
    </r>
  </si>
  <si>
    <r>
      <t xml:space="preserve">C. SUMMARY BUDGET BREAKDOWN BY IMPLEMENTING ENTITY </t>
    </r>
    <r>
      <rPr>
        <b/>
        <i/>
        <sz val="8"/>
        <color indexed="10"/>
        <rFont val="Arial"/>
        <family val="2"/>
      </rPr>
      <t>( if known by Grant signature time)</t>
    </r>
  </si>
  <si>
    <t>PR/SR</t>
  </si>
  <si>
    <t>Name</t>
  </si>
  <si>
    <t>Type of
Implementing Entity</t>
  </si>
  <si>
    <t>SR</t>
  </si>
  <si>
    <t>Department of Youth &amp; Sports, MoE</t>
  </si>
  <si>
    <t>Other Government</t>
  </si>
  <si>
    <t>Department of Adult &amp; Higher Learning, MoE</t>
  </si>
  <si>
    <t>Ministry of Labour &amp; Human Resource</t>
  </si>
  <si>
    <t>Bhutan Chamber of Commerce &amp; Industries</t>
  </si>
  <si>
    <t>Private Sector</t>
  </si>
  <si>
    <t>Ministry of Health (MoH)</t>
  </si>
  <si>
    <t>Armed forces</t>
  </si>
  <si>
    <t>Dratsang Lhentshog</t>
  </si>
  <si>
    <t>FBO</t>
  </si>
  <si>
    <t>Royal Institute of Health Sciences.</t>
  </si>
  <si>
    <t>NGO/CBO/Academic</t>
  </si>
  <si>
    <r>
      <t>* The sum of all three breakdowns should be equal (</t>
    </r>
    <r>
      <rPr>
        <i/>
        <sz val="8"/>
        <rFont val="Arial"/>
        <family val="2"/>
      </rPr>
      <t>A-</t>
    </r>
    <r>
      <rPr>
        <sz val="8"/>
        <rFont val="Arial"/>
        <family val="2"/>
      </rPr>
      <t xml:space="preserve"> Budget Line-item, </t>
    </r>
    <r>
      <rPr>
        <i/>
        <sz val="8"/>
        <rFont val="Arial"/>
        <family val="2"/>
      </rPr>
      <t>B-</t>
    </r>
    <r>
      <rPr>
        <sz val="8"/>
        <rFont val="Arial"/>
        <family val="2"/>
      </rPr>
      <t xml:space="preserve"> Program Activity, </t>
    </r>
    <r>
      <rPr>
        <i/>
        <sz val="8"/>
        <rFont val="Arial"/>
        <family val="2"/>
      </rPr>
      <t>C-</t>
    </r>
    <r>
      <rPr>
        <sz val="8"/>
        <rFont val="Arial"/>
        <family val="2"/>
      </rPr>
      <t xml:space="preserve"> Implementing Entity).</t>
    </r>
  </si>
  <si>
    <t>Ministry of Health, Royal Government of Bhutan</t>
  </si>
  <si>
    <t>SUMMARY BUDGET Year 3,4&amp;5</t>
  </si>
  <si>
    <t>P9</t>
  </si>
  <si>
    <t>P10</t>
  </si>
  <si>
    <t>P11</t>
  </si>
  <si>
    <t>P12</t>
  </si>
  <si>
    <t>P13</t>
  </si>
  <si>
    <t>P14</t>
  </si>
  <si>
    <t>P15</t>
  </si>
  <si>
    <t>P16</t>
  </si>
  <si>
    <t>P17</t>
  </si>
  <si>
    <t>P18</t>
  </si>
  <si>
    <t>P19</t>
  </si>
  <si>
    <t>P20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</si>
</sst>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0.0"/>
    <numFmt numFmtId="181" formatCode="[$-409]d\-mmm\-yy;@"/>
    <numFmt numFmtId="182" formatCode="#,##0.0"/>
  </numFmts>
  <fonts count="37">
    <font>
      <sz val="11"/>
      <color indexed="8"/>
      <name val="Calibri"/>
      <family val="2"/>
    </font>
    <font>
      <sz val="9"/>
      <name val="Arial"/>
      <family val="2"/>
    </font>
    <font>
      <sz val="8"/>
      <name val="Arial"/>
      <family val="2"/>
    </font>
    <font>
      <sz val="10"/>
      <name val="Arial"/>
      <family val="2"/>
    </font>
    <font>
      <b/>
      <sz val="8"/>
      <name val="Arial"/>
      <family val="2"/>
    </font>
    <font>
      <sz val="8"/>
      <color indexed="8"/>
      <name val="Arial"/>
      <family val="2"/>
    </font>
    <font>
      <b/>
      <i/>
      <sz val="8"/>
      <name val="Arial"/>
      <family val="2"/>
    </font>
    <font>
      <b/>
      <sz val="8"/>
      <color indexed="10"/>
      <name val="Arial"/>
      <family val="2"/>
    </font>
    <font>
      <b/>
      <sz val="8"/>
      <color indexed="16"/>
      <name val="Arial"/>
      <family val="2"/>
    </font>
    <font>
      <sz val="8"/>
      <color indexed="10"/>
      <name val="Arial"/>
      <family val="2"/>
    </font>
    <font>
      <b/>
      <i/>
      <sz val="8"/>
      <color indexed="10"/>
      <name val="Arial"/>
      <family val="2"/>
    </font>
    <font>
      <sz val="8"/>
      <color indexed="18"/>
      <name val="Arial"/>
      <family val="2"/>
    </font>
    <font>
      <i/>
      <sz val="8"/>
      <name val="Arial"/>
      <family val="2"/>
    </font>
    <font>
      <sz val="8"/>
      <color indexed="8"/>
      <name val="Times"/>
      <family val="1"/>
    </font>
    <font>
      <b/>
      <sz val="12"/>
      <name val="Tahoma"/>
      <family val="2"/>
    </font>
    <font>
      <sz val="12"/>
      <name val="Tahoma"/>
      <family val="2"/>
    </font>
    <font>
      <b/>
      <sz val="8"/>
      <name val="Tahoma"/>
      <family val="2"/>
    </font>
    <font>
      <sz val="8"/>
      <name val="Tahoma"/>
      <family val="2"/>
    </font>
    <font>
      <sz val="10"/>
      <color indexed="10"/>
      <name val="Tahoma"/>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color indexed="63"/>
      </left>
      <right style="thin"/>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style="medium"/>
      <bottom style="thin"/>
    </border>
    <border>
      <left style="medium"/>
      <right>
        <color indexed="63"/>
      </right>
      <top style="hair"/>
      <bottom style="hair"/>
    </border>
    <border>
      <left style="medium"/>
      <right style="thin"/>
      <top style="thin"/>
      <bottom style="thin"/>
    </border>
    <border>
      <left style="medium"/>
      <right style="medium"/>
      <top style="thin"/>
      <bottom style="thin"/>
    </border>
    <border>
      <left style="medium"/>
      <right>
        <color indexed="63"/>
      </right>
      <top style="hair"/>
      <bottom>
        <color indexed="63"/>
      </bottom>
    </border>
    <border>
      <left style="medium"/>
      <right style="thin"/>
      <top style="thin"/>
      <bottom>
        <color indexed="63"/>
      </bottom>
    </border>
    <border>
      <left style="thin"/>
      <right style="thin"/>
      <top style="thin"/>
      <bottom>
        <color indexed="63"/>
      </bottom>
    </border>
    <border>
      <left style="thin"/>
      <right/>
      <top style="thin"/>
      <bottom>
        <color indexed="63"/>
      </bottom>
    </border>
    <border>
      <left style="medium"/>
      <right style="medium"/>
      <top style="thin"/>
      <bottom>
        <color indexed="63"/>
      </botto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right/>
      <top/>
      <bottom style="medium"/>
    </border>
    <border>
      <left style="medium"/>
      <right/>
      <top style="medium"/>
      <bottom/>
    </border>
    <border>
      <left style="medium"/>
      <right>
        <color indexed="63"/>
      </right>
      <top>
        <color indexed="63"/>
      </top>
      <bottom>
        <color indexed="63"/>
      </bottom>
    </border>
    <border>
      <left style="thin"/>
      <right style="medium"/>
      <top style="thin"/>
      <bottom>
        <color indexed="63"/>
      </bottom>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thin"/>
      <right/>
      <top/>
      <bottom/>
    </border>
    <border>
      <left style="hair"/>
      <right>
        <color indexed="63"/>
      </right>
      <top>
        <color indexed="63"/>
      </top>
      <bottom style="hair"/>
    </border>
    <border>
      <left>
        <color indexed="63"/>
      </left>
      <right>
        <color indexed="63"/>
      </right>
      <top style="medium"/>
      <bottom style="thin"/>
    </border>
    <border>
      <left style="hair"/>
      <right style="hair"/>
      <top style="hair"/>
      <bottom style="hair"/>
    </border>
    <border>
      <left style="hair"/>
      <right style="hair"/>
      <top style="hair"/>
      <bottom>
        <color indexed="63"/>
      </botto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medium"/>
      <right/>
      <top/>
      <bottom style="medium"/>
    </border>
    <border>
      <left style="thin"/>
      <right style="medium"/>
      <top style="medium"/>
      <bottom style="thin"/>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medium"/>
    </border>
    <border>
      <left>
        <color indexed="63"/>
      </left>
      <right style="dotted"/>
      <top style="thin"/>
      <bottom style="dotted"/>
    </border>
    <border>
      <left style="thin"/>
      <right>
        <color indexed="63"/>
      </right>
      <top style="hair"/>
      <bottom style="hair"/>
    </border>
    <border>
      <left>
        <color indexed="63"/>
      </left>
      <right style="thin"/>
      <top style="hair"/>
      <bottom style="hair"/>
    </border>
    <border>
      <left>
        <color indexed="63"/>
      </left>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style="medium"/>
      <right>
        <color indexed="63"/>
      </right>
      <top style="medium"/>
      <bottom style="thin"/>
    </border>
    <border>
      <left>
        <color indexed="63"/>
      </left>
      <right>
        <color indexed="63"/>
      </right>
      <top style="dotted"/>
      <bottom style="thin"/>
    </border>
    <border>
      <left>
        <color indexed="63"/>
      </left>
      <right style="thin"/>
      <top style="dotted"/>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medium"/>
      <top style="thin"/>
      <bottom style="medium"/>
    </border>
    <border>
      <left>
        <color indexed="63"/>
      </left>
      <right>
        <color indexed="63"/>
      </right>
      <top style="hair"/>
      <bottom style="hair"/>
    </border>
    <border>
      <left>
        <color indexed="63"/>
      </left>
      <right>
        <color indexed="63"/>
      </right>
      <top>
        <color indexed="63"/>
      </top>
      <bottom style="hair"/>
    </border>
    <border>
      <left style="hair"/>
      <right>
        <color indexed="63"/>
      </right>
      <top style="hair"/>
      <bottom style="medium"/>
    </border>
    <border>
      <left>
        <color indexed="63"/>
      </left>
      <right>
        <color indexed="63"/>
      </right>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68">
    <xf numFmtId="0" fontId="0" fillId="0" borderId="0" xfId="0" applyAlignment="1">
      <alignment/>
    </xf>
    <xf numFmtId="0" fontId="2" fillId="0" borderId="0" xfId="59" applyFont="1" applyProtection="1">
      <alignment/>
      <protection locked="0"/>
    </xf>
    <xf numFmtId="0" fontId="2" fillId="0" borderId="0" xfId="59" applyFont="1" applyProtection="1">
      <alignment/>
      <protection/>
    </xf>
    <xf numFmtId="0" fontId="4" fillId="0" borderId="0" xfId="59" applyFont="1" applyAlignment="1" applyProtection="1">
      <alignment horizontal="left"/>
      <protection/>
    </xf>
    <xf numFmtId="0" fontId="2" fillId="0" borderId="0" xfId="59" applyFont="1" applyAlignment="1" applyProtection="1">
      <alignment horizontal="center"/>
      <protection locked="0"/>
    </xf>
    <xf numFmtId="3" fontId="2" fillId="0" borderId="0" xfId="59" applyNumberFormat="1" applyFont="1" applyAlignment="1" applyProtection="1">
      <alignment horizontal="center"/>
      <protection locked="0"/>
    </xf>
    <xf numFmtId="0" fontId="4" fillId="0" borderId="0" xfId="58" applyFont="1" applyAlignment="1">
      <alignment vertical="top" wrapText="1"/>
      <protection/>
    </xf>
    <xf numFmtId="0" fontId="2" fillId="0" borderId="0" xfId="59" applyFont="1" applyAlignment="1" applyProtection="1">
      <alignment horizontal="left"/>
      <protection/>
    </xf>
    <xf numFmtId="0" fontId="2" fillId="0" borderId="0" xfId="59" applyFont="1">
      <alignment/>
      <protection/>
    </xf>
    <xf numFmtId="0" fontId="2" fillId="20" borderId="10" xfId="59" applyFont="1" applyFill="1" applyBorder="1" applyAlignment="1">
      <alignment horizontal="left" vertical="center"/>
      <protection/>
    </xf>
    <xf numFmtId="0" fontId="2" fillId="20" borderId="11" xfId="59" applyFont="1" applyFill="1" applyBorder="1" applyAlignment="1">
      <alignment horizontal="left" vertical="center" wrapText="1"/>
      <protection/>
    </xf>
    <xf numFmtId="0" fontId="2" fillId="20" borderId="12" xfId="59" applyFont="1" applyFill="1" applyBorder="1" applyAlignment="1">
      <alignment horizontal="left" vertical="center" wrapText="1"/>
      <protection/>
    </xf>
    <xf numFmtId="0" fontId="4" fillId="20" borderId="13" xfId="59" applyFont="1" applyFill="1" applyBorder="1" applyAlignment="1" applyProtection="1">
      <alignment horizontal="center" vertical="center" wrapText="1"/>
      <protection/>
    </xf>
    <xf numFmtId="181" fontId="2" fillId="0" borderId="13" xfId="58" applyNumberFormat="1" applyFont="1" applyFill="1" applyBorder="1" applyAlignment="1" applyProtection="1">
      <alignment horizontal="center" vertical="center" wrapText="1"/>
      <protection locked="0"/>
    </xf>
    <xf numFmtId="0" fontId="5" fillId="0" borderId="0" xfId="59" applyFont="1" applyBorder="1" applyAlignment="1" applyProtection="1">
      <alignment vertical="top" wrapText="1"/>
      <protection locked="0"/>
    </xf>
    <xf numFmtId="0" fontId="2" fillId="0" borderId="0" xfId="59" applyFont="1" applyBorder="1" applyAlignment="1" applyProtection="1">
      <alignment vertical="top" wrapText="1"/>
      <protection locked="0"/>
    </xf>
    <xf numFmtId="0" fontId="2" fillId="24" borderId="0" xfId="59" applyFont="1" applyFill="1" applyProtection="1">
      <alignment/>
      <protection/>
    </xf>
    <xf numFmtId="0" fontId="6" fillId="24" borderId="0" xfId="59" applyFont="1" applyFill="1" applyAlignment="1" applyProtection="1">
      <alignment horizontal="left"/>
      <protection/>
    </xf>
    <xf numFmtId="0" fontId="2" fillId="0" borderId="0" xfId="59" applyFont="1" applyAlignment="1" applyProtection="1">
      <alignment/>
      <protection locked="0"/>
    </xf>
    <xf numFmtId="0" fontId="4" fillId="20" borderId="0" xfId="59" applyFont="1" applyFill="1" applyBorder="1" applyAlignment="1" applyProtection="1">
      <alignment horizontal="left"/>
      <protection/>
    </xf>
    <xf numFmtId="0" fontId="2" fillId="20" borderId="0" xfId="59" applyFont="1" applyFill="1" applyBorder="1" applyProtection="1">
      <alignment/>
      <protection/>
    </xf>
    <xf numFmtId="0" fontId="2" fillId="20" borderId="0" xfId="59" applyFont="1" applyFill="1" applyBorder="1" applyProtection="1">
      <alignment/>
      <protection locked="0"/>
    </xf>
    <xf numFmtId="0" fontId="2" fillId="0" borderId="0" xfId="58">
      <alignment/>
      <protection/>
    </xf>
    <xf numFmtId="0" fontId="1" fillId="0" borderId="0" xfId="58" applyFont="1">
      <alignment/>
      <protection/>
    </xf>
    <xf numFmtId="0" fontId="2" fillId="0" borderId="0" xfId="58" applyFont="1">
      <alignment/>
      <protection/>
    </xf>
    <xf numFmtId="3" fontId="4" fillId="20" borderId="14" xfId="59" applyNumberFormat="1" applyFont="1" applyFill="1" applyBorder="1" applyAlignment="1" applyProtection="1">
      <alignment horizontal="center" wrapText="1"/>
      <protection/>
    </xf>
    <xf numFmtId="3" fontId="4" fillId="20" borderId="15" xfId="59" applyNumberFormat="1" applyFont="1" applyFill="1" applyBorder="1" applyAlignment="1" applyProtection="1">
      <alignment horizontal="center" wrapText="1"/>
      <protection/>
    </xf>
    <xf numFmtId="3" fontId="4" fillId="25" borderId="16" xfId="59" applyNumberFormat="1" applyFont="1" applyFill="1" applyBorder="1" applyAlignment="1" applyProtection="1">
      <alignment horizontal="center" vertical="center" wrapText="1"/>
      <protection/>
    </xf>
    <xf numFmtId="3" fontId="4" fillId="25" borderId="17" xfId="59" applyNumberFormat="1" applyFont="1" applyFill="1" applyBorder="1" applyAlignment="1" applyProtection="1">
      <alignment horizontal="center" vertical="center" wrapText="1"/>
      <protection/>
    </xf>
    <xf numFmtId="3" fontId="4" fillId="20" borderId="18" xfId="59" applyNumberFormat="1" applyFont="1" applyFill="1" applyBorder="1" applyAlignment="1" applyProtection="1">
      <alignment horizontal="center" vertical="center" wrapText="1"/>
      <protection/>
    </xf>
    <xf numFmtId="3" fontId="4" fillId="25" borderId="19" xfId="59" applyNumberFormat="1" applyFont="1" applyFill="1" applyBorder="1" applyAlignment="1" applyProtection="1">
      <alignment horizontal="center" vertical="center" wrapText="1"/>
      <protection/>
    </xf>
    <xf numFmtId="3" fontId="4" fillId="25" borderId="20" xfId="59" applyNumberFormat="1" applyFont="1" applyFill="1" applyBorder="1" applyAlignment="1" applyProtection="1">
      <alignment horizontal="center" vertical="center" wrapText="1"/>
      <protection/>
    </xf>
    <xf numFmtId="3" fontId="4" fillId="25" borderId="21" xfId="59" applyNumberFormat="1" applyFont="1" applyFill="1" applyBorder="1" applyAlignment="1" applyProtection="1">
      <alignment horizontal="center" vertical="center" wrapText="1"/>
      <protection/>
    </xf>
    <xf numFmtId="3" fontId="4" fillId="20" borderId="18" xfId="59" applyNumberFormat="1" applyFont="1" applyFill="1" applyBorder="1" applyAlignment="1" applyProtection="1">
      <alignment horizontal="center" vertical="top" wrapText="1"/>
      <protection/>
    </xf>
    <xf numFmtId="3" fontId="4" fillId="20" borderId="22" xfId="59" applyNumberFormat="1" applyFont="1" applyFill="1" applyBorder="1" applyAlignment="1" applyProtection="1">
      <alignment horizontal="center" wrapText="1"/>
      <protection/>
    </xf>
    <xf numFmtId="0" fontId="2" fillId="0" borderId="23" xfId="59" applyFont="1" applyBorder="1" applyAlignment="1" applyProtection="1">
      <alignment horizontal="center"/>
      <protection/>
    </xf>
    <xf numFmtId="3" fontId="2" fillId="0" borderId="24" xfId="59" applyNumberFormat="1" applyFont="1" applyFill="1" applyBorder="1" applyAlignment="1" applyProtection="1">
      <alignment horizontal="right" vertical="top" wrapText="1"/>
      <protection locked="0"/>
    </xf>
    <xf numFmtId="3" fontId="2" fillId="0" borderId="25" xfId="59" applyNumberFormat="1" applyFont="1" applyFill="1" applyBorder="1" applyAlignment="1" applyProtection="1">
      <alignment horizontal="right" vertical="top" wrapText="1"/>
      <protection locked="0"/>
    </xf>
    <xf numFmtId="3" fontId="2" fillId="0" borderId="26" xfId="59" applyNumberFormat="1" applyFont="1" applyFill="1" applyBorder="1" applyAlignment="1" applyProtection="1">
      <alignment horizontal="right" vertical="top" wrapText="1"/>
      <protection locked="0"/>
    </xf>
    <xf numFmtId="3" fontId="4" fillId="0" borderId="27" xfId="45" applyNumberFormat="1" applyFont="1" applyBorder="1" applyAlignment="1" applyProtection="1">
      <alignment horizontal="right" vertical="top" wrapText="1"/>
      <protection/>
    </xf>
    <xf numFmtId="3" fontId="2" fillId="0" borderId="28" xfId="45" applyNumberFormat="1" applyFont="1" applyBorder="1" applyAlignment="1" applyProtection="1">
      <alignment horizontal="right" vertical="top" wrapText="1"/>
      <protection locked="0"/>
    </xf>
    <xf numFmtId="3" fontId="2" fillId="0" borderId="25" xfId="45" applyNumberFormat="1" applyFont="1" applyBorder="1" applyAlignment="1" applyProtection="1">
      <alignment horizontal="right" vertical="top" wrapText="1"/>
      <protection locked="0"/>
    </xf>
    <xf numFmtId="3" fontId="2" fillId="0" borderId="26" xfId="45" applyNumberFormat="1" applyFont="1" applyBorder="1" applyAlignment="1" applyProtection="1">
      <alignment horizontal="right" vertical="top" wrapText="1"/>
      <protection locked="0"/>
    </xf>
    <xf numFmtId="3" fontId="2" fillId="0" borderId="29" xfId="45" applyNumberFormat="1" applyFont="1" applyBorder="1" applyAlignment="1" applyProtection="1">
      <alignment horizontal="right" vertical="top" wrapText="1"/>
      <protection locked="0"/>
    </xf>
    <xf numFmtId="3" fontId="2" fillId="0" borderId="30" xfId="45" applyNumberFormat="1" applyFont="1" applyBorder="1" applyAlignment="1" applyProtection="1">
      <alignment horizontal="right" vertical="top" wrapText="1"/>
      <protection locked="0"/>
    </xf>
    <xf numFmtId="3" fontId="2" fillId="0" borderId="31" xfId="45" applyNumberFormat="1" applyFont="1" applyBorder="1" applyAlignment="1" applyProtection="1">
      <alignment horizontal="right" vertical="top" wrapText="1"/>
      <protection locked="0"/>
    </xf>
    <xf numFmtId="3" fontId="4" fillId="0" borderId="32" xfId="45" applyNumberFormat="1" applyFont="1" applyBorder="1" applyAlignment="1" applyProtection="1">
      <alignment horizontal="right" vertical="top" wrapText="1"/>
      <protection/>
    </xf>
    <xf numFmtId="0" fontId="2" fillId="0" borderId="33" xfId="59" applyFont="1" applyBorder="1" applyAlignment="1" applyProtection="1">
      <alignment horizontal="center"/>
      <protection/>
    </xf>
    <xf numFmtId="3" fontId="2" fillId="0" borderId="34" xfId="59" applyNumberFormat="1" applyFont="1" applyFill="1" applyBorder="1" applyAlignment="1" applyProtection="1">
      <alignment horizontal="right" vertical="top" wrapText="1"/>
      <protection locked="0"/>
    </xf>
    <xf numFmtId="3" fontId="4" fillId="0" borderId="35" xfId="45" applyNumberFormat="1" applyFont="1" applyBorder="1" applyAlignment="1" applyProtection="1">
      <alignment horizontal="right" vertical="top" wrapText="1"/>
      <protection/>
    </xf>
    <xf numFmtId="3" fontId="2" fillId="0" borderId="12" xfId="45" applyNumberFormat="1" applyFont="1" applyBorder="1" applyAlignment="1" applyProtection="1">
      <alignment horizontal="right" vertical="top" wrapText="1"/>
      <protection locked="0"/>
    </xf>
    <xf numFmtId="3" fontId="2" fillId="0" borderId="13" xfId="45" applyNumberFormat="1" applyFont="1" applyBorder="1" applyAlignment="1" applyProtection="1">
      <alignment horizontal="right" vertical="top" wrapText="1"/>
      <protection locked="0"/>
    </xf>
    <xf numFmtId="3" fontId="2" fillId="0" borderId="10" xfId="45" applyNumberFormat="1" applyFont="1" applyBorder="1" applyAlignment="1" applyProtection="1">
      <alignment horizontal="right" vertical="top" wrapText="1"/>
      <protection locked="0"/>
    </xf>
    <xf numFmtId="3" fontId="2" fillId="0" borderId="13" xfId="59" applyNumberFormat="1" applyFont="1" applyFill="1" applyBorder="1" applyAlignment="1" applyProtection="1">
      <alignment horizontal="right" vertical="top" wrapText="1"/>
      <protection locked="0"/>
    </xf>
    <xf numFmtId="3" fontId="2" fillId="0" borderId="10" xfId="59" applyNumberFormat="1" applyFont="1" applyFill="1" applyBorder="1" applyAlignment="1" applyProtection="1">
      <alignment horizontal="right" vertical="top" wrapText="1"/>
      <protection locked="0"/>
    </xf>
    <xf numFmtId="3" fontId="2" fillId="0" borderId="12" xfId="45" applyNumberFormat="1" applyFont="1" applyFill="1" applyBorder="1" applyAlignment="1" applyProtection="1">
      <alignment horizontal="right" vertical="top" wrapText="1"/>
      <protection locked="0"/>
    </xf>
    <xf numFmtId="0" fontId="2" fillId="0" borderId="33" xfId="59" applyFont="1" applyBorder="1" applyAlignment="1" applyProtection="1" quotePrefix="1">
      <alignment horizontal="center"/>
      <protection/>
    </xf>
    <xf numFmtId="0" fontId="2" fillId="0" borderId="36" xfId="59" applyFont="1" applyBorder="1" applyAlignment="1" applyProtection="1" quotePrefix="1">
      <alignment horizontal="center"/>
      <protection/>
    </xf>
    <xf numFmtId="0" fontId="2" fillId="0" borderId="36" xfId="59" applyFont="1" applyBorder="1" applyAlignment="1" applyProtection="1">
      <alignment horizontal="center"/>
      <protection/>
    </xf>
    <xf numFmtId="3" fontId="2" fillId="0" borderId="37" xfId="59" applyNumberFormat="1" applyFont="1" applyFill="1" applyBorder="1" applyAlignment="1" applyProtection="1">
      <alignment horizontal="right" vertical="top" wrapText="1"/>
      <protection locked="0"/>
    </xf>
    <xf numFmtId="3" fontId="2" fillId="0" borderId="38" xfId="59" applyNumberFormat="1" applyFont="1" applyBorder="1" applyAlignment="1" applyProtection="1">
      <alignment horizontal="right" vertical="top" wrapText="1"/>
      <protection locked="0"/>
    </xf>
    <xf numFmtId="3" fontId="2" fillId="0" borderId="39" xfId="59" applyNumberFormat="1" applyFont="1" applyBorder="1" applyAlignment="1" applyProtection="1">
      <alignment horizontal="right" vertical="top" wrapText="1"/>
      <protection locked="0"/>
    </xf>
    <xf numFmtId="3" fontId="4" fillId="0" borderId="40" xfId="45" applyNumberFormat="1" applyFont="1" applyBorder="1" applyAlignment="1" applyProtection="1">
      <alignment horizontal="right" vertical="top" wrapText="1"/>
      <protection/>
    </xf>
    <xf numFmtId="3" fontId="2" fillId="0" borderId="16" xfId="59" applyNumberFormat="1" applyFont="1" applyBorder="1" applyAlignment="1" applyProtection="1">
      <alignment horizontal="right" vertical="top" wrapText="1"/>
      <protection locked="0"/>
    </xf>
    <xf numFmtId="3" fontId="2" fillId="0" borderId="16" xfId="45" applyNumberFormat="1" applyFont="1" applyBorder="1" applyAlignment="1" applyProtection="1">
      <alignment horizontal="right" vertical="top" wrapText="1"/>
      <protection locked="0"/>
    </xf>
    <xf numFmtId="3" fontId="2" fillId="0" borderId="38" xfId="45" applyNumberFormat="1" applyFont="1" applyBorder="1" applyAlignment="1" applyProtection="1">
      <alignment horizontal="right" vertical="top" wrapText="1"/>
      <protection locked="0"/>
    </xf>
    <xf numFmtId="3" fontId="2" fillId="0" borderId="39" xfId="45" applyNumberFormat="1" applyFont="1" applyBorder="1" applyAlignment="1" applyProtection="1">
      <alignment horizontal="right" vertical="top" wrapText="1"/>
      <protection locked="0"/>
    </xf>
    <xf numFmtId="0" fontId="4" fillId="22" borderId="41" xfId="59" applyFont="1" applyFill="1" applyBorder="1" applyAlignment="1" applyProtection="1">
      <alignment horizontal="right" vertical="center"/>
      <protection/>
    </xf>
    <xf numFmtId="3" fontId="4" fillId="22" borderId="42" xfId="45" applyNumberFormat="1" applyFont="1" applyFill="1" applyBorder="1" applyAlignment="1" applyProtection="1">
      <alignment horizontal="right" vertical="top" wrapText="1"/>
      <protection locked="0"/>
    </xf>
    <xf numFmtId="3" fontId="4" fillId="22" borderId="43" xfId="45" applyNumberFormat="1" applyFont="1" applyFill="1" applyBorder="1" applyAlignment="1" applyProtection="1">
      <alignment horizontal="right" vertical="top" wrapText="1"/>
      <protection locked="0"/>
    </xf>
    <xf numFmtId="3" fontId="4" fillId="22" borderId="44" xfId="45" applyNumberFormat="1" applyFont="1" applyFill="1" applyBorder="1" applyAlignment="1" applyProtection="1">
      <alignment horizontal="right" vertical="top" wrapText="1"/>
      <protection locked="0"/>
    </xf>
    <xf numFmtId="3" fontId="4" fillId="22" borderId="45" xfId="45" applyNumberFormat="1" applyFont="1" applyFill="1" applyBorder="1" applyAlignment="1" applyProtection="1">
      <alignment horizontal="right" vertical="top" wrapText="1"/>
      <protection locked="0"/>
    </xf>
    <xf numFmtId="9" fontId="2" fillId="22" borderId="41" xfId="45" applyNumberFormat="1" applyFont="1" applyFill="1" applyBorder="1" applyAlignment="1" applyProtection="1">
      <alignment horizontal="right" vertical="top" wrapText="1"/>
      <protection/>
    </xf>
    <xf numFmtId="0" fontId="2" fillId="0" borderId="0" xfId="59" applyFont="1" applyAlignment="1" applyProtection="1">
      <alignment horizontal="center" vertical="center"/>
      <protection locked="0"/>
    </xf>
    <xf numFmtId="0" fontId="2" fillId="24" borderId="0" xfId="59" applyFont="1" applyFill="1" applyAlignment="1" applyProtection="1">
      <alignment wrapText="1"/>
      <protection/>
    </xf>
    <xf numFmtId="0" fontId="2" fillId="24" borderId="0" xfId="59" applyFont="1" applyFill="1" applyBorder="1" applyAlignment="1" applyProtection="1">
      <alignment horizontal="center" wrapText="1"/>
      <protection/>
    </xf>
    <xf numFmtId="0" fontId="7" fillId="24" borderId="0" xfId="59" applyFont="1" applyFill="1" applyAlignment="1" applyProtection="1">
      <alignment horizontal="left" wrapText="1"/>
      <protection/>
    </xf>
    <xf numFmtId="0" fontId="7" fillId="24" borderId="0" xfId="59" applyFont="1" applyFill="1" applyAlignment="1" applyProtection="1">
      <alignment horizontal="center" vertical="top" wrapText="1"/>
      <protection/>
    </xf>
    <xf numFmtId="0" fontId="4" fillId="24" borderId="0" xfId="59" applyFont="1" applyFill="1" applyAlignment="1" applyProtection="1">
      <alignment horizontal="left" wrapText="1"/>
      <protection/>
    </xf>
    <xf numFmtId="0" fontId="2" fillId="24" borderId="0" xfId="59" applyFont="1" applyFill="1" applyProtection="1">
      <alignment/>
      <protection locked="0"/>
    </xf>
    <xf numFmtId="0" fontId="2" fillId="0" borderId="46" xfId="58" applyFont="1" applyBorder="1">
      <alignment/>
      <protection/>
    </xf>
    <xf numFmtId="3" fontId="4" fillId="20" borderId="47" xfId="59" applyNumberFormat="1" applyFont="1" applyFill="1" applyBorder="1" applyAlignment="1" applyProtection="1">
      <alignment horizontal="center" wrapText="1"/>
      <protection/>
    </xf>
    <xf numFmtId="3" fontId="4" fillId="20" borderId="48" xfId="59" applyNumberFormat="1" applyFont="1" applyFill="1" applyBorder="1" applyAlignment="1" applyProtection="1">
      <alignment horizontal="center" vertical="center" wrapText="1"/>
      <protection/>
    </xf>
    <xf numFmtId="3" fontId="4" fillId="25" borderId="37" xfId="59" applyNumberFormat="1" applyFont="1" applyFill="1" applyBorder="1" applyAlignment="1" applyProtection="1">
      <alignment horizontal="center" vertical="center" wrapText="1"/>
      <protection/>
    </xf>
    <xf numFmtId="3" fontId="4" fillId="25" borderId="38" xfId="59" applyNumberFormat="1" applyFont="1" applyFill="1" applyBorder="1" applyAlignment="1" applyProtection="1">
      <alignment horizontal="center" vertical="center" wrapText="1"/>
      <protection/>
    </xf>
    <xf numFmtId="3" fontId="4" fillId="25" borderId="49" xfId="59" applyNumberFormat="1" applyFont="1" applyFill="1" applyBorder="1" applyAlignment="1" applyProtection="1">
      <alignment horizontal="center" vertical="center" wrapText="1"/>
      <protection/>
    </xf>
    <xf numFmtId="0" fontId="2" fillId="0" borderId="23" xfId="58" applyFont="1" applyBorder="1" applyAlignment="1" applyProtection="1">
      <alignment horizontal="center"/>
      <protection locked="0"/>
    </xf>
    <xf numFmtId="0" fontId="2" fillId="0" borderId="50" xfId="58" applyFont="1" applyBorder="1" applyAlignment="1" applyProtection="1">
      <alignment horizontal="left" vertical="top" wrapText="1"/>
      <protection locked="0"/>
    </xf>
    <xf numFmtId="0" fontId="2" fillId="0" borderId="51" xfId="58" applyFont="1" applyBorder="1" applyAlignment="1" applyProtection="1">
      <alignment horizontal="left" vertical="top" wrapText="1"/>
      <protection locked="0"/>
    </xf>
    <xf numFmtId="0" fontId="2" fillId="0" borderId="52" xfId="58" applyFont="1" applyBorder="1" applyAlignment="1" applyProtection="1">
      <alignment horizontal="left" vertical="top" wrapText="1"/>
      <protection locked="0"/>
    </xf>
    <xf numFmtId="3" fontId="4" fillId="0" borderId="27" xfId="45" applyNumberFormat="1" applyFont="1" applyBorder="1" applyAlignment="1" applyProtection="1">
      <alignment horizontal="right" vertical="center"/>
      <protection locked="0"/>
    </xf>
    <xf numFmtId="9" fontId="2" fillId="0" borderId="27" xfId="45" applyNumberFormat="1" applyFont="1" applyBorder="1" applyAlignment="1" applyProtection="1">
      <alignment horizontal="right" vertical="top" wrapText="1"/>
      <protection locked="0"/>
    </xf>
    <xf numFmtId="0" fontId="2" fillId="0" borderId="0" xfId="58" applyFont="1" applyAlignment="1" applyProtection="1">
      <alignment wrapText="1"/>
      <protection locked="0"/>
    </xf>
    <xf numFmtId="0" fontId="5" fillId="0" borderId="0" xfId="58" applyFont="1" applyBorder="1" applyAlignment="1" applyProtection="1">
      <alignment vertical="top" wrapText="1"/>
      <protection locked="0"/>
    </xf>
    <xf numFmtId="0" fontId="2" fillId="0" borderId="33" xfId="58" applyFont="1" applyBorder="1" applyAlignment="1" applyProtection="1">
      <alignment horizontal="center"/>
      <protection locked="0"/>
    </xf>
    <xf numFmtId="0" fontId="2" fillId="0" borderId="53" xfId="58" applyFont="1" applyBorder="1" applyAlignment="1" applyProtection="1">
      <alignment horizontal="left" vertical="top" wrapText="1"/>
      <protection locked="0"/>
    </xf>
    <xf numFmtId="3" fontId="4" fillId="0" borderId="35" xfId="45" applyNumberFormat="1" applyFont="1" applyBorder="1" applyAlignment="1" applyProtection="1">
      <alignment horizontal="right" vertical="top" wrapText="1"/>
      <protection locked="0"/>
    </xf>
    <xf numFmtId="9" fontId="2" fillId="0" borderId="35" xfId="45" applyNumberFormat="1" applyFont="1" applyBorder="1" applyAlignment="1" applyProtection="1">
      <alignment horizontal="right" vertical="top" wrapText="1"/>
      <protection locked="0"/>
    </xf>
    <xf numFmtId="0" fontId="2" fillId="0" borderId="36" xfId="58" applyFont="1" applyBorder="1" applyAlignment="1" applyProtection="1" quotePrefix="1">
      <alignment horizontal="center"/>
      <protection locked="0"/>
    </xf>
    <xf numFmtId="0" fontId="2" fillId="0" borderId="54" xfId="58" applyFont="1" applyBorder="1" applyAlignment="1" applyProtection="1">
      <alignment horizontal="left" vertical="top" wrapText="1"/>
      <protection locked="0"/>
    </xf>
    <xf numFmtId="0" fontId="5" fillId="0" borderId="0" xfId="59" applyFont="1" applyFill="1" applyBorder="1" applyAlignment="1" applyProtection="1">
      <alignment vertical="top" wrapText="1"/>
      <protection locked="0"/>
    </xf>
    <xf numFmtId="0" fontId="9" fillId="0" borderId="0" xfId="59" applyFont="1" applyProtection="1">
      <alignment/>
      <protection/>
    </xf>
    <xf numFmtId="0" fontId="2" fillId="0" borderId="0" xfId="59" applyFont="1" applyFill="1" applyBorder="1" applyAlignment="1">
      <alignment vertical="justify" wrapText="1"/>
      <protection/>
    </xf>
    <xf numFmtId="0" fontId="2" fillId="0" borderId="55" xfId="59" applyFont="1" applyFill="1" applyBorder="1" applyAlignment="1">
      <alignment vertical="justify" wrapText="1"/>
      <protection/>
    </xf>
    <xf numFmtId="0" fontId="2" fillId="0" borderId="0" xfId="58" applyFont="1" applyBorder="1">
      <alignment/>
      <protection/>
    </xf>
    <xf numFmtId="0" fontId="2" fillId="0" borderId="23" xfId="59" applyFont="1" applyBorder="1" applyAlignment="1" applyProtection="1">
      <alignment horizontal="center"/>
      <protection locked="0"/>
    </xf>
    <xf numFmtId="0" fontId="2" fillId="0" borderId="50" xfId="59" applyFont="1" applyBorder="1" applyAlignment="1" applyProtection="1">
      <alignment horizontal="left" vertical="top" wrapText="1"/>
      <protection locked="0"/>
    </xf>
    <xf numFmtId="0" fontId="2" fillId="0" borderId="56" xfId="59" applyFont="1" applyBorder="1" applyAlignment="1" applyProtection="1">
      <alignment horizontal="left" vertical="top" wrapText="1"/>
      <protection locked="0"/>
    </xf>
    <xf numFmtId="43" fontId="2" fillId="0" borderId="13" xfId="58" applyNumberFormat="1" applyFont="1" applyFill="1" applyBorder="1" applyAlignment="1" applyProtection="1">
      <alignment wrapText="1"/>
      <protection locked="0"/>
    </xf>
    <xf numFmtId="3" fontId="4" fillId="0" borderId="57" xfId="45" applyNumberFormat="1" applyFont="1" applyBorder="1" applyAlignment="1" applyProtection="1">
      <alignment horizontal="right" vertical="top" wrapText="1"/>
      <protection locked="0"/>
    </xf>
    <xf numFmtId="0" fontId="2" fillId="0" borderId="0" xfId="59" applyFont="1" applyAlignment="1" applyProtection="1">
      <alignment wrapText="1"/>
      <protection locked="0"/>
    </xf>
    <xf numFmtId="0" fontId="2" fillId="0" borderId="33" xfId="59" applyFont="1" applyBorder="1" applyAlignment="1" applyProtection="1">
      <alignment horizontal="center"/>
      <protection locked="0"/>
    </xf>
    <xf numFmtId="0" fontId="2" fillId="0" borderId="58" xfId="59" applyFont="1" applyBorder="1" applyAlignment="1" applyProtection="1">
      <alignment horizontal="left" vertical="top" wrapText="1"/>
      <protection locked="0"/>
    </xf>
    <xf numFmtId="0" fontId="2" fillId="0" borderId="52" xfId="59" applyFont="1" applyBorder="1" applyAlignment="1" applyProtection="1">
      <alignment horizontal="left" vertical="top" wrapText="1"/>
      <protection locked="0"/>
    </xf>
    <xf numFmtId="3" fontId="4" fillId="0" borderId="35" xfId="59" applyNumberFormat="1" applyFont="1" applyFill="1" applyBorder="1" applyAlignment="1" applyProtection="1">
      <alignment horizontal="right" vertical="top" wrapText="1"/>
      <protection locked="0"/>
    </xf>
    <xf numFmtId="3" fontId="4" fillId="0" borderId="11" xfId="45" applyNumberFormat="1" applyFont="1" applyBorder="1" applyAlignment="1" applyProtection="1">
      <alignment horizontal="right" vertical="top" wrapText="1"/>
      <protection locked="0"/>
    </xf>
    <xf numFmtId="0" fontId="11" fillId="0" borderId="0" xfId="59" applyFont="1" applyProtection="1">
      <alignment/>
      <protection locked="0"/>
    </xf>
    <xf numFmtId="0" fontId="2" fillId="0" borderId="36" xfId="59" applyFont="1" applyBorder="1" applyAlignment="1" applyProtection="1" quotePrefix="1">
      <alignment horizontal="center"/>
      <protection locked="0"/>
    </xf>
    <xf numFmtId="0" fontId="2" fillId="0" borderId="59" xfId="59" applyFont="1" applyBorder="1" applyAlignment="1" applyProtection="1">
      <alignment horizontal="left" vertical="top" wrapText="1"/>
      <protection locked="0"/>
    </xf>
    <xf numFmtId="3" fontId="2" fillId="0" borderId="34" xfId="45" applyNumberFormat="1" applyFont="1" applyBorder="1" applyAlignment="1" applyProtection="1">
      <alignment horizontal="right" vertical="top" wrapText="1"/>
      <protection locked="0"/>
    </xf>
    <xf numFmtId="3" fontId="2" fillId="0" borderId="19" xfId="45" applyNumberFormat="1" applyFont="1" applyBorder="1" applyAlignment="1" applyProtection="1">
      <alignment horizontal="right" vertical="top" wrapText="1"/>
      <protection locked="0"/>
    </xf>
    <xf numFmtId="3" fontId="2" fillId="0" borderId="60" xfId="45" applyNumberFormat="1" applyFont="1" applyBorder="1" applyAlignment="1" applyProtection="1">
      <alignment horizontal="right" vertical="top" wrapText="1"/>
      <protection locked="0"/>
    </xf>
    <xf numFmtId="3" fontId="2" fillId="0" borderId="61" xfId="45" applyNumberFormat="1" applyFont="1" applyBorder="1" applyAlignment="1" applyProtection="1">
      <alignment horizontal="right" vertical="top" wrapText="1"/>
      <protection locked="0"/>
    </xf>
    <xf numFmtId="3" fontId="4" fillId="0" borderId="62" xfId="45" applyNumberFormat="1" applyFont="1" applyBorder="1" applyAlignment="1" applyProtection="1">
      <alignment horizontal="right" vertical="top" wrapText="1"/>
      <protection locked="0"/>
    </xf>
    <xf numFmtId="3" fontId="2" fillId="0" borderId="20" xfId="45" applyNumberFormat="1" applyFont="1" applyBorder="1" applyAlignment="1" applyProtection="1">
      <alignment horizontal="right" vertical="top" wrapText="1"/>
      <protection locked="0"/>
    </xf>
    <xf numFmtId="3" fontId="4" fillId="0" borderId="62" xfId="59" applyNumberFormat="1" applyFont="1" applyFill="1" applyBorder="1" applyAlignment="1" applyProtection="1">
      <alignment horizontal="right" vertical="top" wrapText="1"/>
      <protection locked="0"/>
    </xf>
    <xf numFmtId="3" fontId="4" fillId="0" borderId="63" xfId="45" applyNumberFormat="1" applyFont="1" applyBorder="1" applyAlignment="1" applyProtection="1">
      <alignment horizontal="right" vertical="top" wrapText="1"/>
      <protection locked="0"/>
    </xf>
    <xf numFmtId="9" fontId="2" fillId="0" borderId="62" xfId="45" applyNumberFormat="1" applyFont="1" applyBorder="1" applyAlignment="1" applyProtection="1">
      <alignment horizontal="right" vertical="top" wrapText="1"/>
      <protection locked="0"/>
    </xf>
    <xf numFmtId="0" fontId="2" fillId="22" borderId="64" xfId="59" applyFont="1" applyFill="1" applyBorder="1" applyAlignment="1" applyProtection="1">
      <alignment horizontal="center" vertical="center"/>
      <protection/>
    </xf>
    <xf numFmtId="0" fontId="2" fillId="22" borderId="65" xfId="59" applyFont="1" applyFill="1" applyBorder="1" applyAlignment="1" applyProtection="1">
      <alignment horizontal="center"/>
      <protection/>
    </xf>
    <xf numFmtId="3" fontId="4" fillId="22" borderId="66" xfId="45" applyNumberFormat="1" applyFont="1" applyFill="1" applyBorder="1" applyAlignment="1" applyProtection="1">
      <alignment horizontal="right" vertical="top" wrapText="1"/>
      <protection locked="0"/>
    </xf>
    <xf numFmtId="3" fontId="4" fillId="22" borderId="67" xfId="45" applyNumberFormat="1" applyFont="1" applyFill="1" applyBorder="1" applyAlignment="1" applyProtection="1">
      <alignment horizontal="right" vertical="top" wrapText="1"/>
      <protection locked="0"/>
    </xf>
    <xf numFmtId="9" fontId="2" fillId="22" borderId="45" xfId="45" applyNumberFormat="1" applyFont="1" applyFill="1" applyBorder="1" applyAlignment="1" applyProtection="1">
      <alignment horizontal="right" vertical="top" wrapText="1"/>
      <protection/>
    </xf>
    <xf numFmtId="0" fontId="2" fillId="0" borderId="0" xfId="59" applyFont="1" applyBorder="1" applyAlignment="1" applyProtection="1">
      <alignment wrapText="1"/>
      <protection locked="0"/>
    </xf>
    <xf numFmtId="0" fontId="4" fillId="0" borderId="0" xfId="59" applyFont="1" applyProtection="1">
      <alignment/>
      <protection/>
    </xf>
    <xf numFmtId="0" fontId="2" fillId="0" borderId="0" xfId="59" applyFont="1" applyAlignment="1" applyProtection="1">
      <alignment horizontal="center"/>
      <protection/>
    </xf>
    <xf numFmtId="0" fontId="13" fillId="0" borderId="0" xfId="59" applyFont="1" applyProtection="1">
      <alignment/>
      <protection locked="0"/>
    </xf>
    <xf numFmtId="0" fontId="2" fillId="0" borderId="0" xfId="59" applyFont="1" applyAlignment="1">
      <alignment horizontal="left" wrapText="1"/>
      <protection/>
    </xf>
    <xf numFmtId="0" fontId="2" fillId="0" borderId="0" xfId="59" applyFont="1" applyBorder="1" applyAlignment="1">
      <alignment horizontal="left" wrapText="1"/>
      <protection/>
    </xf>
    <xf numFmtId="0" fontId="5" fillId="0" borderId="0" xfId="59" applyFont="1" applyProtection="1">
      <alignment/>
      <protection locked="0"/>
    </xf>
    <xf numFmtId="0" fontId="3" fillId="0" borderId="0" xfId="59" applyProtection="1">
      <alignment/>
      <protection locked="0"/>
    </xf>
    <xf numFmtId="0" fontId="1" fillId="0" borderId="0" xfId="59" applyFont="1" applyAlignment="1" applyProtection="1">
      <alignment horizontal="center"/>
      <protection locked="0"/>
    </xf>
    <xf numFmtId="0" fontId="3" fillId="0" borderId="0" xfId="59" applyAlignment="1" applyProtection="1">
      <alignment/>
      <protection locked="0"/>
    </xf>
    <xf numFmtId="43" fontId="2" fillId="0" borderId="0" xfId="42" applyFont="1" applyAlignment="1" applyProtection="1">
      <alignment/>
      <protection locked="0"/>
    </xf>
    <xf numFmtId="181" fontId="2" fillId="0" borderId="13" xfId="0" applyNumberFormat="1" applyFont="1" applyFill="1" applyBorder="1" applyAlignment="1" applyProtection="1">
      <alignment horizontal="center" vertical="center" wrapText="1"/>
      <protection locked="0"/>
    </xf>
    <xf numFmtId="181" fontId="2" fillId="21" borderId="13" xfId="0" applyNumberFormat="1" applyFont="1" applyFill="1" applyBorder="1" applyAlignment="1" applyProtection="1">
      <alignment horizontal="center" vertical="center" wrapText="1"/>
      <protection locked="0"/>
    </xf>
    <xf numFmtId="43" fontId="2" fillId="20" borderId="13" xfId="42" applyFont="1" applyFill="1" applyBorder="1" applyAlignment="1" applyProtection="1">
      <alignment horizontal="center" vertical="center" wrapText="1"/>
      <protection locked="0"/>
    </xf>
    <xf numFmtId="181" fontId="2" fillId="0" borderId="13" xfId="59" applyNumberFormat="1" applyFont="1" applyFill="1" applyBorder="1" applyAlignment="1" applyProtection="1">
      <alignment horizontal="right" vertical="center" wrapText="1"/>
      <protection/>
    </xf>
    <xf numFmtId="0" fontId="2" fillId="0" borderId="0" xfId="59" applyFont="1" applyFill="1" applyProtection="1">
      <alignment/>
      <protection locked="0"/>
    </xf>
    <xf numFmtId="0" fontId="2" fillId="20" borderId="0" xfId="59" applyFont="1" applyFill="1" applyProtection="1">
      <alignment/>
      <protection locked="0"/>
    </xf>
    <xf numFmtId="43" fontId="2" fillId="0" borderId="38" xfId="42" applyFont="1" applyBorder="1" applyAlignment="1" applyProtection="1">
      <alignment horizontal="right" vertical="top" wrapText="1"/>
      <protection locked="0"/>
    </xf>
    <xf numFmtId="43" fontId="2" fillId="0" borderId="39" xfId="42" applyFont="1" applyBorder="1" applyAlignment="1" applyProtection="1">
      <alignment horizontal="right" vertical="top" wrapText="1"/>
      <protection locked="0"/>
    </xf>
    <xf numFmtId="43" fontId="4" fillId="22" borderId="43" xfId="42" applyFont="1" applyFill="1" applyBorder="1" applyAlignment="1" applyProtection="1">
      <alignment horizontal="right" vertical="top" wrapText="1"/>
      <protection locked="0"/>
    </xf>
    <xf numFmtId="43" fontId="4" fillId="22" borderId="44" xfId="42" applyFont="1" applyFill="1" applyBorder="1" applyAlignment="1" applyProtection="1">
      <alignment horizontal="right" vertical="top" wrapText="1"/>
      <protection locked="0"/>
    </xf>
    <xf numFmtId="43" fontId="7" fillId="24" borderId="0" xfId="59" applyNumberFormat="1" applyFont="1" applyFill="1" applyAlignment="1" applyProtection="1">
      <alignment horizontal="center" vertical="top" wrapText="1"/>
      <protection/>
    </xf>
    <xf numFmtId="43" fontId="2" fillId="0" borderId="25" xfId="42" applyFont="1" applyBorder="1" applyAlignment="1" applyProtection="1">
      <alignment horizontal="right" vertical="top" wrapText="1"/>
      <protection locked="0"/>
    </xf>
    <xf numFmtId="43" fontId="2" fillId="0" borderId="13" xfId="42" applyFont="1" applyBorder="1" applyAlignment="1" applyProtection="1">
      <alignment horizontal="right" vertical="top" wrapText="1"/>
      <protection locked="0"/>
    </xf>
    <xf numFmtId="43" fontId="2" fillId="0" borderId="68" xfId="42" applyFont="1" applyBorder="1" applyAlignment="1" applyProtection="1">
      <alignment horizontal="right" vertical="top" wrapText="1"/>
      <protection locked="0"/>
    </xf>
    <xf numFmtId="43" fontId="2" fillId="0" borderId="69" xfId="42" applyFont="1" applyBorder="1" applyAlignment="1" applyProtection="1">
      <alignment horizontal="right" vertical="top" wrapText="1"/>
      <protection locked="0"/>
    </xf>
    <xf numFmtId="43" fontId="2" fillId="0" borderId="49" xfId="42" applyFont="1" applyBorder="1" applyAlignment="1" applyProtection="1">
      <alignment horizontal="right" vertical="top" wrapText="1"/>
      <protection locked="0"/>
    </xf>
    <xf numFmtId="43" fontId="2" fillId="0" borderId="26" xfId="42" applyFont="1" applyBorder="1" applyAlignment="1" applyProtection="1">
      <alignment horizontal="right" vertical="top" wrapText="1"/>
      <protection locked="0"/>
    </xf>
    <xf numFmtId="43" fontId="2" fillId="0" borderId="10" xfId="42" applyFont="1" applyBorder="1" applyAlignment="1" applyProtection="1">
      <alignment horizontal="right" vertical="top" wrapText="1"/>
      <protection locked="0"/>
    </xf>
    <xf numFmtId="10" fontId="2" fillId="0" borderId="27" xfId="45" applyNumberFormat="1" applyFont="1" applyBorder="1" applyAlignment="1" applyProtection="1">
      <alignment horizontal="right" vertical="top" wrapText="1"/>
      <protection/>
    </xf>
    <xf numFmtId="10" fontId="2" fillId="0" borderId="35" xfId="42" applyNumberFormat="1" applyFont="1" applyBorder="1" applyAlignment="1" applyProtection="1">
      <alignment horizontal="right" vertical="top" wrapText="1"/>
      <protection/>
    </xf>
    <xf numFmtId="10" fontId="2" fillId="0" borderId="40" xfId="42" applyNumberFormat="1" applyFont="1" applyBorder="1" applyAlignment="1" applyProtection="1">
      <alignment horizontal="right" vertical="top" wrapText="1"/>
      <protection/>
    </xf>
    <xf numFmtId="10" fontId="2" fillId="22" borderId="41" xfId="42" applyNumberFormat="1" applyFont="1" applyFill="1" applyBorder="1" applyAlignment="1" applyProtection="1">
      <alignment horizontal="right" vertical="top" wrapText="1"/>
      <protection/>
    </xf>
    <xf numFmtId="3" fontId="4" fillId="0" borderId="27" xfId="42" applyNumberFormat="1" applyFont="1" applyBorder="1" applyAlignment="1" applyProtection="1">
      <alignment horizontal="right" vertical="center"/>
      <protection locked="0"/>
    </xf>
    <xf numFmtId="3" fontId="4" fillId="0" borderId="70" xfId="42" applyNumberFormat="1" applyFont="1" applyBorder="1" applyAlignment="1" applyProtection="1">
      <alignment horizontal="right" vertical="top" wrapText="1"/>
      <protection/>
    </xf>
    <xf numFmtId="3" fontId="4" fillId="0" borderId="71" xfId="42" applyNumberFormat="1" applyFont="1" applyBorder="1" applyAlignment="1" applyProtection="1">
      <alignment horizontal="right" vertical="top" wrapText="1"/>
      <protection/>
    </xf>
    <xf numFmtId="3" fontId="4" fillId="22" borderId="42" xfId="42" applyNumberFormat="1" applyFont="1" applyFill="1" applyBorder="1" applyAlignment="1" applyProtection="1">
      <alignment horizontal="right" vertical="top" wrapText="1"/>
      <protection locked="0"/>
    </xf>
    <xf numFmtId="3" fontId="4" fillId="0" borderId="35" xfId="42" applyNumberFormat="1" applyFont="1" applyBorder="1" applyAlignment="1" applyProtection="1">
      <alignment horizontal="right" vertical="top" wrapText="1"/>
      <protection/>
    </xf>
    <xf numFmtId="3" fontId="4" fillId="0" borderId="40" xfId="42" applyNumberFormat="1" applyFont="1" applyBorder="1" applyAlignment="1" applyProtection="1">
      <alignment horizontal="right" vertical="top" wrapText="1"/>
      <protection/>
    </xf>
    <xf numFmtId="3" fontId="4" fillId="22" borderId="45" xfId="42" applyNumberFormat="1" applyFont="1" applyFill="1" applyBorder="1" applyAlignment="1" applyProtection="1">
      <alignment horizontal="right" vertical="top" wrapText="1"/>
      <protection locked="0"/>
    </xf>
    <xf numFmtId="3" fontId="4" fillId="0" borderId="35" xfId="42" applyNumberFormat="1" applyFont="1" applyBorder="1" applyAlignment="1" applyProtection="1">
      <alignment horizontal="right" vertical="center"/>
      <protection locked="0"/>
    </xf>
    <xf numFmtId="3" fontId="4" fillId="0" borderId="40" xfId="42" applyNumberFormat="1" applyFont="1" applyBorder="1" applyAlignment="1" applyProtection="1">
      <alignment horizontal="right" vertical="center"/>
      <protection locked="0"/>
    </xf>
    <xf numFmtId="3" fontId="2" fillId="0" borderId="28" xfId="42" applyNumberFormat="1" applyFont="1" applyBorder="1" applyAlignment="1" applyProtection="1">
      <alignment horizontal="right" vertical="top" wrapText="1"/>
      <protection locked="0"/>
    </xf>
    <xf numFmtId="3" fontId="2" fillId="0" borderId="12" xfId="42" applyNumberFormat="1" applyFont="1" applyBorder="1" applyAlignment="1" applyProtection="1">
      <alignment horizontal="right" vertical="top" wrapText="1"/>
      <protection locked="0"/>
    </xf>
    <xf numFmtId="3" fontId="2" fillId="0" borderId="16" xfId="42" applyNumberFormat="1" applyFont="1" applyBorder="1" applyAlignment="1" applyProtection="1">
      <alignment horizontal="right" vertical="top" wrapText="1"/>
      <protection locked="0"/>
    </xf>
    <xf numFmtId="3" fontId="4" fillId="0" borderId="27" xfId="42" applyNumberFormat="1" applyFont="1" applyBorder="1" applyAlignment="1" applyProtection="1">
      <alignment horizontal="right" vertical="top" wrapText="1"/>
      <protection locked="0"/>
    </xf>
    <xf numFmtId="3" fontId="4" fillId="0" borderId="35" xfId="42" applyNumberFormat="1" applyFont="1" applyBorder="1" applyAlignment="1" applyProtection="1">
      <alignment horizontal="right" vertical="top" wrapText="1"/>
      <protection locked="0"/>
    </xf>
    <xf numFmtId="3" fontId="4" fillId="0" borderId="40" xfId="42" applyNumberFormat="1" applyFont="1" applyBorder="1" applyAlignment="1" applyProtection="1">
      <alignment horizontal="right" vertical="top" wrapText="1"/>
      <protection locked="0"/>
    </xf>
    <xf numFmtId="3" fontId="4" fillId="0" borderId="13" xfId="42" applyNumberFormat="1" applyFont="1" applyFill="1" applyBorder="1" applyAlignment="1" applyProtection="1">
      <alignment wrapText="1"/>
      <protection locked="0"/>
    </xf>
    <xf numFmtId="3" fontId="8" fillId="0" borderId="13" xfId="42" applyNumberFormat="1" applyFont="1" applyFill="1" applyBorder="1" applyAlignment="1" applyProtection="1">
      <alignment wrapText="1"/>
      <protection locked="0"/>
    </xf>
    <xf numFmtId="3" fontId="4" fillId="0" borderId="13" xfId="42" applyNumberFormat="1" applyFont="1" applyBorder="1" applyAlignment="1" applyProtection="1">
      <alignment/>
      <protection locked="0"/>
    </xf>
    <xf numFmtId="3" fontId="4" fillId="0" borderId="13" xfId="42" applyNumberFormat="1" applyFont="1" applyFill="1" applyBorder="1" applyAlignment="1" applyProtection="1">
      <alignment/>
      <protection locked="0"/>
    </xf>
    <xf numFmtId="3" fontId="2" fillId="0" borderId="13" xfId="42" applyNumberFormat="1" applyFont="1" applyFill="1" applyBorder="1" applyAlignment="1" applyProtection="1">
      <alignment wrapText="1"/>
      <protection locked="0"/>
    </xf>
    <xf numFmtId="3" fontId="4" fillId="22" borderId="72" xfId="42" applyNumberFormat="1" applyFont="1" applyFill="1" applyBorder="1" applyAlignment="1" applyProtection="1">
      <alignment horizontal="right" vertical="top" wrapText="1"/>
      <protection locked="0"/>
    </xf>
    <xf numFmtId="3" fontId="4" fillId="22" borderId="43" xfId="42" applyNumberFormat="1" applyFont="1" applyFill="1" applyBorder="1" applyAlignment="1" applyProtection="1">
      <alignment horizontal="right" vertical="top" wrapText="1"/>
      <protection locked="0"/>
    </xf>
    <xf numFmtId="3" fontId="4" fillId="22" borderId="44" xfId="42" applyNumberFormat="1" applyFont="1" applyFill="1" applyBorder="1" applyAlignment="1" applyProtection="1">
      <alignment horizontal="right" vertical="top" wrapText="1"/>
      <protection locked="0"/>
    </xf>
    <xf numFmtId="3" fontId="4" fillId="22" borderId="27" xfId="42" applyNumberFormat="1" applyFont="1" applyFill="1" applyBorder="1" applyAlignment="1" applyProtection="1">
      <alignment horizontal="right" vertical="center"/>
      <protection locked="0"/>
    </xf>
    <xf numFmtId="0" fontId="4" fillId="20" borderId="13" xfId="59" applyFont="1" applyFill="1" applyBorder="1" applyAlignment="1" applyProtection="1">
      <alignment horizontal="center" vertical="center" wrapText="1"/>
      <protection locked="0"/>
    </xf>
    <xf numFmtId="181" fontId="2" fillId="0" borderId="73" xfId="59" applyNumberFormat="1" applyFont="1" applyFill="1" applyBorder="1" applyAlignment="1" applyProtection="1">
      <alignment vertical="center" wrapText="1"/>
      <protection/>
    </xf>
    <xf numFmtId="181" fontId="2" fillId="0" borderId="0" xfId="0" applyNumberFormat="1" applyFont="1" applyFill="1" applyBorder="1" applyAlignment="1" applyProtection="1">
      <alignment horizontal="center" vertical="center" wrapText="1"/>
      <protection locked="0"/>
    </xf>
    <xf numFmtId="0" fontId="4" fillId="20" borderId="74" xfId="58" applyFont="1" applyFill="1" applyBorder="1" applyAlignment="1">
      <alignment horizontal="left" vertical="top" wrapText="1"/>
      <protection/>
    </xf>
    <xf numFmtId="0" fontId="2" fillId="0" borderId="75" xfId="58" applyFont="1" applyBorder="1" applyAlignment="1">
      <alignment horizontal="left" vertical="top" wrapText="1"/>
      <protection/>
    </xf>
    <xf numFmtId="49" fontId="2" fillId="0" borderId="76" xfId="58" applyNumberFormat="1" applyFont="1" applyBorder="1" applyAlignment="1" applyProtection="1">
      <alignment horizontal="left" vertical="top" wrapText="1"/>
      <protection locked="0"/>
    </xf>
    <xf numFmtId="49" fontId="2" fillId="0" borderId="77" xfId="58" applyNumberFormat="1" applyFont="1" applyBorder="1" applyAlignment="1" applyProtection="1">
      <alignment horizontal="left" vertical="top" wrapText="1"/>
      <protection locked="0"/>
    </xf>
    <xf numFmtId="0" fontId="4" fillId="0" borderId="0" xfId="59" applyFont="1" applyAlignment="1" applyProtection="1">
      <alignment horizontal="left" vertical="center"/>
      <protection/>
    </xf>
    <xf numFmtId="0" fontId="4" fillId="26" borderId="64" xfId="58" applyFont="1" applyFill="1" applyBorder="1" applyAlignment="1" applyProtection="1">
      <alignment horizontal="center" vertical="center"/>
      <protection locked="0"/>
    </xf>
    <xf numFmtId="0" fontId="4" fillId="26" borderId="65" xfId="58" applyFont="1" applyFill="1" applyBorder="1" applyAlignment="1" applyProtection="1">
      <alignment horizontal="center" vertical="center"/>
      <protection locked="0"/>
    </xf>
    <xf numFmtId="0" fontId="4" fillId="26" borderId="41" xfId="58" applyFont="1" applyFill="1" applyBorder="1" applyAlignment="1" applyProtection="1">
      <alignment horizontal="center" vertical="center"/>
      <protection locked="0"/>
    </xf>
    <xf numFmtId="0" fontId="2" fillId="0" borderId="0" xfId="58" applyFont="1" applyBorder="1" applyAlignment="1">
      <alignment horizontal="left" vertical="top" wrapText="1"/>
      <protection/>
    </xf>
    <xf numFmtId="0" fontId="4" fillId="0" borderId="0" xfId="58" applyFont="1" applyAlignment="1">
      <alignment horizontal="left" wrapText="1"/>
      <protection/>
    </xf>
    <xf numFmtId="0" fontId="4" fillId="20" borderId="78" xfId="58" applyFont="1" applyFill="1" applyBorder="1" applyAlignment="1">
      <alignment horizontal="left" vertical="top" wrapText="1"/>
      <protection/>
    </xf>
    <xf numFmtId="0" fontId="2" fillId="0" borderId="79" xfId="58" applyFont="1" applyBorder="1" applyAlignment="1">
      <alignment horizontal="left" vertical="top" wrapText="1"/>
      <protection/>
    </xf>
    <xf numFmtId="49" fontId="2" fillId="0" borderId="80" xfId="58" applyNumberFormat="1" applyFont="1" applyBorder="1" applyAlignment="1" applyProtection="1">
      <alignment horizontal="left" vertical="top" wrapText="1"/>
      <protection locked="0"/>
    </xf>
    <xf numFmtId="49" fontId="2" fillId="0" borderId="81" xfId="58" applyNumberFormat="1" applyFont="1" applyBorder="1" applyAlignment="1" applyProtection="1">
      <alignment horizontal="left" vertical="top" wrapText="1"/>
      <protection locked="0"/>
    </xf>
    <xf numFmtId="49" fontId="2" fillId="0" borderId="82" xfId="58" applyNumberFormat="1" applyFont="1" applyBorder="1" applyAlignment="1" applyProtection="1">
      <alignment horizontal="left" vertical="top" wrapText="1"/>
      <protection locked="0"/>
    </xf>
    <xf numFmtId="3" fontId="4" fillId="25" borderId="57" xfId="59" applyNumberFormat="1" applyFont="1" applyFill="1" applyBorder="1" applyAlignment="1" applyProtection="1">
      <alignment horizontal="center" vertical="center" wrapText="1"/>
      <protection/>
    </xf>
    <xf numFmtId="3" fontId="4" fillId="25" borderId="32" xfId="59" applyNumberFormat="1" applyFont="1" applyFill="1" applyBorder="1" applyAlignment="1" applyProtection="1">
      <alignment horizontal="center" vertical="center" wrapText="1"/>
      <protection/>
    </xf>
    <xf numFmtId="3" fontId="4" fillId="25" borderId="83" xfId="59" applyNumberFormat="1" applyFont="1" applyFill="1" applyBorder="1" applyAlignment="1" applyProtection="1">
      <alignment horizontal="center" vertical="center" wrapText="1"/>
      <protection locked="0"/>
    </xf>
    <xf numFmtId="3" fontId="4" fillId="25" borderId="57" xfId="59" applyNumberFormat="1" applyFont="1" applyFill="1" applyBorder="1" applyAlignment="1" applyProtection="1">
      <alignment horizontal="center" vertical="center" wrapText="1"/>
      <protection locked="0"/>
    </xf>
    <xf numFmtId="3" fontId="4" fillId="25" borderId="32" xfId="59" applyNumberFormat="1" applyFont="1" applyFill="1" applyBorder="1" applyAlignment="1" applyProtection="1">
      <alignment horizontal="center" vertical="center" wrapText="1"/>
      <protection locked="0"/>
    </xf>
    <xf numFmtId="3" fontId="4" fillId="25" borderId="14" xfId="59" applyNumberFormat="1" applyFont="1" applyFill="1" applyBorder="1" applyAlignment="1" applyProtection="1">
      <alignment horizontal="center" vertical="center" wrapText="1"/>
      <protection/>
    </xf>
    <xf numFmtId="3" fontId="4" fillId="25" borderId="18" xfId="59" applyNumberFormat="1" applyFont="1" applyFill="1" applyBorder="1" applyAlignment="1" applyProtection="1">
      <alignment horizontal="center" vertical="center" wrapText="1"/>
      <protection/>
    </xf>
    <xf numFmtId="0" fontId="4" fillId="20" borderId="31" xfId="58" applyFont="1" applyFill="1" applyBorder="1" applyAlignment="1">
      <alignment horizontal="left" vertical="top" wrapText="1"/>
      <protection/>
    </xf>
    <xf numFmtId="0" fontId="2" fillId="0" borderId="29" xfId="58" applyFont="1" applyBorder="1" applyAlignment="1">
      <alignment horizontal="left" vertical="top" wrapText="1"/>
      <protection/>
    </xf>
    <xf numFmtId="49" fontId="2" fillId="0" borderId="84" xfId="58" applyNumberFormat="1" applyFont="1" applyBorder="1" applyAlignment="1" applyProtection="1">
      <alignment horizontal="left" vertical="top" wrapText="1"/>
      <protection locked="0"/>
    </xf>
    <xf numFmtId="49" fontId="2" fillId="0" borderId="85" xfId="58" applyNumberFormat="1" applyFont="1" applyBorder="1" applyAlignment="1" applyProtection="1">
      <alignment horizontal="left" vertical="top" wrapText="1"/>
      <protection locked="0"/>
    </xf>
    <xf numFmtId="0" fontId="2" fillId="24" borderId="0" xfId="59" applyFont="1" applyFill="1" applyBorder="1" applyAlignment="1" applyProtection="1">
      <alignment horizontal="left" wrapText="1" indent="1"/>
      <protection/>
    </xf>
    <xf numFmtId="0" fontId="2" fillId="0" borderId="0" xfId="59" applyFont="1" applyAlignment="1" applyProtection="1">
      <alignment horizontal="left"/>
      <protection locked="0"/>
    </xf>
    <xf numFmtId="0" fontId="4" fillId="20" borderId="86" xfId="59" applyFont="1" applyFill="1" applyBorder="1" applyAlignment="1">
      <alignment horizontal="left" vertical="center" wrapText="1"/>
      <protection/>
    </xf>
    <xf numFmtId="0" fontId="4" fillId="20" borderId="87" xfId="59" applyFont="1" applyFill="1" applyBorder="1" applyAlignment="1">
      <alignment horizontal="left" vertical="center" wrapText="1"/>
      <protection/>
    </xf>
    <xf numFmtId="0" fontId="4" fillId="20" borderId="88" xfId="59" applyFont="1" applyFill="1" applyBorder="1" applyAlignment="1">
      <alignment horizontal="left" vertical="center" wrapText="1"/>
      <protection/>
    </xf>
    <xf numFmtId="0" fontId="4" fillId="20" borderId="89" xfId="59" applyFont="1" applyFill="1" applyBorder="1" applyAlignment="1">
      <alignment horizontal="left" vertical="center" wrapText="1"/>
      <protection/>
    </xf>
    <xf numFmtId="0" fontId="4" fillId="25" borderId="24" xfId="59" applyFont="1" applyFill="1" applyBorder="1" applyAlignment="1" applyProtection="1">
      <alignment horizontal="center"/>
      <protection/>
    </xf>
    <xf numFmtId="0" fontId="4" fillId="25" borderId="19" xfId="59" applyFont="1" applyFill="1" applyBorder="1" applyAlignment="1" applyProtection="1">
      <alignment horizontal="center"/>
      <protection/>
    </xf>
    <xf numFmtId="0" fontId="4" fillId="25" borderId="25" xfId="59" applyFont="1" applyFill="1" applyBorder="1" applyAlignment="1" applyProtection="1">
      <alignment horizontal="center" vertical="center"/>
      <protection/>
    </xf>
    <xf numFmtId="0" fontId="4" fillId="25" borderId="68" xfId="59" applyFont="1" applyFill="1" applyBorder="1" applyAlignment="1" applyProtection="1">
      <alignment horizontal="center" vertical="center"/>
      <protection/>
    </xf>
    <xf numFmtId="0" fontId="4" fillId="25" borderId="60" xfId="59" applyFont="1" applyFill="1" applyBorder="1" applyAlignment="1" applyProtection="1">
      <alignment horizontal="center" vertical="center"/>
      <protection/>
    </xf>
    <xf numFmtId="0" fontId="4" fillId="25" borderId="90" xfId="59" applyFont="1" applyFill="1" applyBorder="1" applyAlignment="1" applyProtection="1">
      <alignment horizontal="center" vertical="center"/>
      <protection/>
    </xf>
    <xf numFmtId="3" fontId="4" fillId="25" borderId="83" xfId="59" applyNumberFormat="1" applyFont="1" applyFill="1" applyBorder="1" applyAlignment="1" applyProtection="1">
      <alignment horizontal="center" vertical="center" wrapText="1"/>
      <protection/>
    </xf>
    <xf numFmtId="0" fontId="2" fillId="0" borderId="52" xfId="59" applyFont="1" applyFill="1" applyBorder="1" applyAlignment="1" applyProtection="1">
      <alignment horizontal="left" indent="1"/>
      <protection/>
    </xf>
    <xf numFmtId="0" fontId="2" fillId="0" borderId="91" xfId="59" applyFont="1" applyFill="1" applyBorder="1" applyAlignment="1" applyProtection="1">
      <alignment horizontal="left" indent="1"/>
      <protection/>
    </xf>
    <xf numFmtId="0" fontId="2" fillId="0" borderId="56" xfId="59" applyFont="1" applyBorder="1" applyAlignment="1" applyProtection="1">
      <alignment horizontal="left" indent="1"/>
      <protection/>
    </xf>
    <xf numFmtId="0" fontId="2" fillId="0" borderId="92" xfId="59" applyFont="1" applyBorder="1" applyAlignment="1" applyProtection="1">
      <alignment horizontal="left" indent="1"/>
      <protection/>
    </xf>
    <xf numFmtId="0" fontId="2" fillId="0" borderId="52" xfId="59" applyFont="1" applyBorder="1" applyAlignment="1" applyProtection="1">
      <alignment horizontal="left" indent="1"/>
      <protection/>
    </xf>
    <xf numFmtId="0" fontId="2" fillId="0" borderId="91" xfId="59" applyFont="1" applyBorder="1" applyAlignment="1" applyProtection="1">
      <alignment horizontal="left" indent="1"/>
      <protection/>
    </xf>
    <xf numFmtId="0" fontId="2" fillId="0" borderId="93" xfId="59" applyFont="1" applyBorder="1" applyAlignment="1" applyProtection="1">
      <alignment horizontal="left" indent="1"/>
      <protection/>
    </xf>
    <xf numFmtId="0" fontId="2" fillId="0" borderId="94" xfId="59" applyFont="1" applyBorder="1" applyAlignment="1" applyProtection="1">
      <alignment horizontal="left" indent="1"/>
      <protection/>
    </xf>
    <xf numFmtId="0" fontId="6" fillId="22" borderId="64" xfId="59" applyFont="1" applyFill="1" applyBorder="1" applyAlignment="1" applyProtection="1">
      <alignment horizontal="center" vertical="center"/>
      <protection/>
    </xf>
    <xf numFmtId="0" fontId="6" fillId="22" borderId="65" xfId="59" applyFont="1" applyFill="1" applyBorder="1" applyAlignment="1" applyProtection="1">
      <alignment horizontal="center" vertical="center"/>
      <protection/>
    </xf>
    <xf numFmtId="0" fontId="4" fillId="25" borderId="25" xfId="59" applyFont="1" applyFill="1" applyBorder="1" applyAlignment="1" applyProtection="1">
      <alignment horizontal="center" vertical="center" wrapText="1"/>
      <protection/>
    </xf>
    <xf numFmtId="0" fontId="4" fillId="25" borderId="68" xfId="59" applyFont="1" applyFill="1" applyBorder="1" applyAlignment="1" applyProtection="1">
      <alignment horizontal="center" vertical="center" wrapText="1"/>
      <protection/>
    </xf>
    <xf numFmtId="0" fontId="4" fillId="25" borderId="90" xfId="59" applyFont="1" applyFill="1" applyBorder="1" applyAlignment="1" applyProtection="1">
      <alignment horizontal="center" vertical="center" wrapText="1"/>
      <protection/>
    </xf>
    <xf numFmtId="3" fontId="4" fillId="25" borderId="24" xfId="59" applyNumberFormat="1" applyFont="1" applyFill="1" applyBorder="1" applyAlignment="1" applyProtection="1">
      <alignment horizontal="center" vertical="center" wrapText="1"/>
      <protection/>
    </xf>
    <xf numFmtId="3" fontId="4" fillId="25" borderId="25" xfId="59" applyNumberFormat="1" applyFont="1" applyFill="1" applyBorder="1" applyAlignment="1" applyProtection="1">
      <alignment horizontal="center" vertical="center" wrapText="1"/>
      <protection/>
    </xf>
    <xf numFmtId="3" fontId="4" fillId="25" borderId="68" xfId="59" applyNumberFormat="1" applyFont="1" applyFill="1" applyBorder="1" applyAlignment="1" applyProtection="1">
      <alignment horizontal="center" vertical="center" wrapText="1"/>
      <protection/>
    </xf>
    <xf numFmtId="3" fontId="4" fillId="25" borderId="15" xfId="59" applyNumberFormat="1" applyFont="1" applyFill="1" applyBorder="1" applyAlignment="1" applyProtection="1">
      <alignment horizontal="center" vertical="center" wrapText="1"/>
      <protection/>
    </xf>
    <xf numFmtId="3" fontId="4" fillId="25" borderId="22" xfId="59" applyNumberFormat="1" applyFont="1" applyFill="1" applyBorder="1" applyAlignment="1" applyProtection="1">
      <alignment horizontal="center" vertical="center" wrapText="1"/>
      <protection/>
    </xf>
    <xf numFmtId="0" fontId="4" fillId="22" borderId="64" xfId="59" applyFont="1" applyFill="1" applyBorder="1" applyAlignment="1" applyProtection="1">
      <alignment horizontal="right" vertical="center"/>
      <protection/>
    </xf>
    <xf numFmtId="0" fontId="2" fillId="0" borderId="65" xfId="59" applyFont="1" applyBorder="1" applyAlignment="1" applyProtection="1">
      <alignment/>
      <protection/>
    </xf>
    <xf numFmtId="0" fontId="2" fillId="24" borderId="95" xfId="59" applyFont="1" applyFill="1" applyBorder="1" applyAlignment="1" applyProtection="1">
      <alignment vertical="top" wrapText="1"/>
      <protection/>
    </xf>
    <xf numFmtId="0" fontId="2" fillId="0" borderId="96" xfId="59" applyFont="1" applyBorder="1" applyAlignment="1">
      <alignment vertical="top" wrapText="1"/>
      <protection/>
    </xf>
    <xf numFmtId="0" fontId="2" fillId="0" borderId="97" xfId="59" applyFont="1" applyBorder="1" applyAlignment="1">
      <alignment vertical="top" wrapText="1"/>
      <protection/>
    </xf>
    <xf numFmtId="0" fontId="2" fillId="0" borderId="55" xfId="59" applyFont="1" applyBorder="1" applyAlignment="1">
      <alignment vertical="top" wrapText="1"/>
      <protection/>
    </xf>
    <xf numFmtId="0" fontId="2" fillId="0" borderId="0" xfId="59" applyFont="1" applyBorder="1" applyAlignment="1">
      <alignment vertical="top" wrapText="1"/>
      <protection/>
    </xf>
    <xf numFmtId="0" fontId="2" fillId="0" borderId="98" xfId="59" applyFont="1" applyBorder="1" applyAlignment="1">
      <alignment vertical="top" wrapText="1"/>
      <protection/>
    </xf>
    <xf numFmtId="0" fontId="2" fillId="0" borderId="31" xfId="59" applyFont="1" applyBorder="1" applyAlignment="1">
      <alignment vertical="top" wrapText="1"/>
      <protection/>
    </xf>
    <xf numFmtId="0" fontId="2" fillId="0" borderId="99" xfId="59" applyFont="1" applyBorder="1" applyAlignment="1">
      <alignment vertical="top" wrapText="1"/>
      <protection/>
    </xf>
    <xf numFmtId="0" fontId="2" fillId="0" borderId="29" xfId="59" applyFont="1" applyBorder="1" applyAlignment="1">
      <alignment vertical="top" wrapText="1"/>
      <protection/>
    </xf>
    <xf numFmtId="0" fontId="2" fillId="24" borderId="55" xfId="59" applyFont="1" applyFill="1" applyBorder="1" applyAlignment="1" applyProtection="1">
      <alignment horizontal="left" vertical="top" wrapText="1"/>
      <protection/>
    </xf>
    <xf numFmtId="0" fontId="2" fillId="24" borderId="0" xfId="59" applyFont="1" applyFill="1" applyBorder="1" applyAlignment="1" applyProtection="1">
      <alignment horizontal="left" vertical="top" wrapText="1"/>
      <protection/>
    </xf>
    <xf numFmtId="0" fontId="2" fillId="24" borderId="98" xfId="59" applyFont="1" applyFill="1" applyBorder="1" applyAlignment="1" applyProtection="1">
      <alignment horizontal="left" vertical="top" wrapText="1"/>
      <protection/>
    </xf>
    <xf numFmtId="0" fontId="2" fillId="24" borderId="31" xfId="59" applyFont="1" applyFill="1" applyBorder="1" applyAlignment="1" applyProtection="1">
      <alignment horizontal="left" vertical="top" wrapText="1"/>
      <protection/>
    </xf>
    <xf numFmtId="0" fontId="2" fillId="24" borderId="99" xfId="59" applyFont="1" applyFill="1" applyBorder="1" applyAlignment="1" applyProtection="1">
      <alignment horizontal="left" vertical="top" wrapText="1"/>
      <protection/>
    </xf>
    <xf numFmtId="0" fontId="2" fillId="24" borderId="29" xfId="59" applyFont="1" applyFill="1" applyBorder="1" applyAlignment="1" applyProtection="1">
      <alignment horizontal="left" vertical="top" wrapText="1"/>
      <protection/>
    </xf>
    <xf numFmtId="0" fontId="4" fillId="25" borderId="60" xfId="59" applyFont="1"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Template for Summary budgets Generic"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_Template for Summary budgets Generic" xfId="59"/>
    <cellStyle name="Note" xfId="60"/>
    <cellStyle name="Output" xfId="61"/>
    <cellStyle name="Percent" xfId="62"/>
    <cellStyle name="Title" xfId="63"/>
    <cellStyle name="Total" xfId="64"/>
    <cellStyle name="Warning Text" xfId="65"/>
  </cellStyles>
  <dxfs count="7">
    <dxf>
      <fill>
        <patternFill>
          <bgColor indexed="10"/>
        </patternFill>
      </fill>
    </dxf>
    <dxf>
      <fill>
        <patternFill>
          <bgColor indexed="10"/>
        </patternFill>
      </fill>
    </dxf>
    <dxf>
      <font>
        <b val="0"/>
        <i val="0"/>
        <color indexed="9"/>
      </font>
      <fill>
        <patternFill>
          <bgColor indexed="9"/>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theglobalfund.org/Documents%20and%20Settings/dmohaupt/Local%20Settings/Temporary%20Internet%20Files/OLK4E/PHase%202%20HIV/HIV%20Revision/revised%20HIV%20plan%20&amp;%20budget%2026th%20Apr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theglobalfund.org/Users\yeshi\AppData\Local\Microsoft\Windows\Temporary%20Internet%20Files\Low\Content.IE5\V63DIAGN\Budget%20summary%20HIVphase%202%201st%20Apri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theglobalfund.org/Users\yeshi\AppData\Local\Microsoft\Windows\Temporary%20Internet%20Files\Low\Content.IE5\I2Z2T8D1\Budget%20summary%20HIVphase%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enchowangdi\Desktop\Detail%20budget%20Y%204%20&amp;%205%2011Oct(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KINLEY~1\LOCALS~1\Temp\Detail%20budget%20Y%204%20&amp;%205%2011Oc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KINLEY~1\LOCALS~1\Temp\Detail%20budget%20Y%204%20&amp;%205%2013Oc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KINLEY~1\LOCALS~1\Temp\Detail%20budget%20Y%204%20&amp;%205%2014O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assumptions"/>
      <sheetName val="Year 3"/>
      <sheetName val="LFA verified Budget (Y3)"/>
      <sheetName val="indicative Yr 4 &amp; 5"/>
      <sheetName val="LFA verified Budget (Y 4&amp; 5)"/>
      <sheetName val="Budget summary GF"/>
      <sheetName val="LFA verified budget summary"/>
    </sheetNames>
    <sheetDataSet>
      <sheetData sheetId="1">
        <row r="35">
          <cell r="H35">
            <v>474</v>
          </cell>
          <cell r="I35">
            <v>474</v>
          </cell>
          <cell r="J35">
            <v>474</v>
          </cell>
        </row>
        <row r="58">
          <cell r="H58">
            <v>999</v>
          </cell>
          <cell r="I58">
            <v>999</v>
          </cell>
          <cell r="J58">
            <v>999</v>
          </cell>
        </row>
        <row r="60">
          <cell r="I60">
            <v>21750</v>
          </cell>
        </row>
        <row r="77">
          <cell r="G77">
            <v>1950</v>
          </cell>
          <cell r="H77">
            <v>1950</v>
          </cell>
          <cell r="I77">
            <v>1950</v>
          </cell>
          <cell r="J77">
            <v>1950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summary GF"/>
      <sheetName val="Definitions"/>
    </sheetNames>
    <sheetDataSet>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row r="127">
          <cell r="B127" t="str">
            <v>Please Select…</v>
          </cell>
        </row>
        <row r="128">
          <cell r="B128" t="str">
            <v>HIV:Prevention</v>
          </cell>
        </row>
        <row r="129">
          <cell r="B129" t="str">
            <v>HIV:Treatment</v>
          </cell>
        </row>
        <row r="130">
          <cell r="B130" t="str">
            <v>HIV:Care and Support</v>
          </cell>
        </row>
        <row r="131">
          <cell r="B131" t="str">
            <v>HIV:TB/HIV Collaborative Activities</v>
          </cell>
        </row>
        <row r="132">
          <cell r="B132" t="str">
            <v>HIV:Supportive Environment</v>
          </cell>
        </row>
        <row r="133">
          <cell r="B133" t="str">
            <v>HIV:Health Systems Strengthening (HSS)</v>
          </cell>
        </row>
        <row r="134">
          <cell r="B134" t="str">
            <v>HIV_TB: TB Detection</v>
          </cell>
        </row>
        <row r="135">
          <cell r="B135" t="str">
            <v>HIV_TB: TB Treatment</v>
          </cell>
        </row>
        <row r="136">
          <cell r="B136" t="str">
            <v>HIV_TB: Collaborative Activities</v>
          </cell>
        </row>
        <row r="137">
          <cell r="B137" t="str">
            <v>HIV_TB: Supportive Environment</v>
          </cell>
        </row>
        <row r="138">
          <cell r="B138" t="str">
            <v>HIV_TB: Health Systems Strengthening (HSS)</v>
          </cell>
        </row>
        <row r="139">
          <cell r="B139" t="str">
            <v>Mal: Prevention</v>
          </cell>
        </row>
        <row r="140">
          <cell r="B140" t="str">
            <v>Mal: Treatment</v>
          </cell>
        </row>
        <row r="141">
          <cell r="B141" t="str">
            <v>Mal: Supportive Environment</v>
          </cell>
        </row>
        <row r="142">
          <cell r="B142" t="str">
            <v>Mal: Health Systems Strengthening (HSS)</v>
          </cell>
        </row>
        <row r="143">
          <cell r="B143" t="str">
            <v>TB Detection</v>
          </cell>
        </row>
        <row r="144">
          <cell r="B144" t="str">
            <v>TB Treatment</v>
          </cell>
        </row>
        <row r="145">
          <cell r="B145" t="str">
            <v>TB/HIV Collaborative Activities</v>
          </cell>
        </row>
        <row r="146">
          <cell r="B146" t="str">
            <v>TB: Supportive Environment</v>
          </cell>
        </row>
        <row r="147">
          <cell r="B147" t="str">
            <v>TB: Health Systems Strengthening (HSS)</v>
          </cell>
        </row>
        <row r="148">
          <cell r="B148" t="str">
            <v>HSS: Health Systems Strengthening (HSS)</v>
          </cell>
        </row>
        <row r="149">
          <cell r="B149" t="str">
            <v>HSS: Supportive Environment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summary GF"/>
      <sheetName val="Definitions"/>
      <sheetName val="Sheet1"/>
    </sheetNames>
    <sheetDataSet>
      <sheetData sheetId="1">
        <row r="127">
          <cell r="B127" t="str">
            <v>Please Select…</v>
          </cell>
        </row>
        <row r="128">
          <cell r="B128" t="str">
            <v>HIV:Prevention</v>
          </cell>
        </row>
        <row r="129">
          <cell r="B129" t="str">
            <v>HIV:Treatment</v>
          </cell>
        </row>
        <row r="130">
          <cell r="B130" t="str">
            <v>HIV:Care and Support</v>
          </cell>
        </row>
        <row r="131">
          <cell r="B131" t="str">
            <v>HIV:TB/HIV Collaborative Activities</v>
          </cell>
        </row>
        <row r="132">
          <cell r="B132" t="str">
            <v>HIV:Supportive Environment</v>
          </cell>
        </row>
        <row r="133">
          <cell r="B133" t="str">
            <v>HIV:Health Systems Strengthening (HSS)</v>
          </cell>
        </row>
        <row r="134">
          <cell r="B134" t="str">
            <v>HIV_TB: TB Detection</v>
          </cell>
        </row>
        <row r="135">
          <cell r="B135" t="str">
            <v>HIV_TB: TB Treatment</v>
          </cell>
        </row>
        <row r="136">
          <cell r="B136" t="str">
            <v>HIV_TB: Collaborative Activities</v>
          </cell>
        </row>
        <row r="137">
          <cell r="B137" t="str">
            <v>HIV_TB: Supportive Environment</v>
          </cell>
        </row>
        <row r="138">
          <cell r="B138" t="str">
            <v>HIV_TB: Health Systems Strengthening (HSS)</v>
          </cell>
        </row>
        <row r="139">
          <cell r="B139" t="str">
            <v>Mal: Prevention</v>
          </cell>
        </row>
        <row r="140">
          <cell r="B140" t="str">
            <v>Mal: Treatment</v>
          </cell>
        </row>
        <row r="141">
          <cell r="B141" t="str">
            <v>Mal: Supportive Environment</v>
          </cell>
        </row>
        <row r="142">
          <cell r="B142" t="str">
            <v>Mal: Health Systems Strengthening (HSS)</v>
          </cell>
        </row>
        <row r="143">
          <cell r="B143" t="str">
            <v>TB Detection</v>
          </cell>
        </row>
        <row r="144">
          <cell r="B144" t="str">
            <v>TB Treatment</v>
          </cell>
        </row>
        <row r="145">
          <cell r="B145" t="str">
            <v>TB/HIV Collaborative Activities</v>
          </cell>
        </row>
        <row r="146">
          <cell r="B146" t="str">
            <v>TB: Supportive Environment</v>
          </cell>
        </row>
        <row r="147">
          <cell r="B147" t="str">
            <v>TB: Health Systems Strengthening (HSS)</v>
          </cell>
        </row>
        <row r="148">
          <cell r="B148" t="str">
            <v>HSS: Health Systems Strengthening (HSS)</v>
          </cell>
        </row>
        <row r="149">
          <cell r="B149" t="str">
            <v>HSS: Supportive Environment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ear 4"/>
      <sheetName val="Year 5"/>
      <sheetName val="Sheet1"/>
    </sheetNames>
    <sheetDataSet>
      <sheetData sheetId="0">
        <row r="16">
          <cell r="G16">
            <v>69692.072</v>
          </cell>
        </row>
        <row r="21">
          <cell r="G21">
            <v>0</v>
          </cell>
          <cell r="H21">
            <v>71233</v>
          </cell>
          <cell r="J21">
            <v>68800</v>
          </cell>
        </row>
        <row r="27">
          <cell r="G27">
            <v>7840</v>
          </cell>
          <cell r="H27">
            <v>9790</v>
          </cell>
          <cell r="I27">
            <v>6340</v>
          </cell>
          <cell r="J27">
            <v>0</v>
          </cell>
        </row>
        <row r="31">
          <cell r="G31">
            <v>474</v>
          </cell>
          <cell r="H31">
            <v>7863</v>
          </cell>
          <cell r="I31">
            <v>7863</v>
          </cell>
          <cell r="J31">
            <v>474</v>
          </cell>
        </row>
        <row r="36">
          <cell r="G36">
            <v>7905</v>
          </cell>
          <cell r="H36">
            <v>14585</v>
          </cell>
          <cell r="I36">
            <v>6170</v>
          </cell>
          <cell r="J36">
            <v>3085</v>
          </cell>
        </row>
        <row r="41">
          <cell r="G41">
            <v>1000</v>
          </cell>
          <cell r="H41">
            <v>6160</v>
          </cell>
          <cell r="I41">
            <v>2325</v>
          </cell>
        </row>
        <row r="44">
          <cell r="H44">
            <v>22500</v>
          </cell>
        </row>
        <row r="64">
          <cell r="I64">
            <v>16679</v>
          </cell>
        </row>
      </sheetData>
      <sheetData sheetId="1">
        <row r="9">
          <cell r="G9">
            <v>56255.12</v>
          </cell>
          <cell r="H9">
            <v>13914</v>
          </cell>
        </row>
        <row r="14">
          <cell r="G14">
            <v>20000</v>
          </cell>
          <cell r="H14">
            <v>4255</v>
          </cell>
          <cell r="I14">
            <v>0</v>
          </cell>
          <cell r="J14">
            <v>68800</v>
          </cell>
        </row>
        <row r="20">
          <cell r="G20">
            <v>7840</v>
          </cell>
          <cell r="H20">
            <v>5290</v>
          </cell>
          <cell r="I20">
            <v>11340</v>
          </cell>
        </row>
        <row r="24">
          <cell r="G24">
            <v>474</v>
          </cell>
          <cell r="H24">
            <v>7974</v>
          </cell>
          <cell r="I24">
            <v>7974</v>
          </cell>
          <cell r="J24">
            <v>474</v>
          </cell>
        </row>
        <row r="30">
          <cell r="G30">
            <v>23085</v>
          </cell>
          <cell r="H30">
            <v>12085</v>
          </cell>
          <cell r="I30">
            <v>3085</v>
          </cell>
          <cell r="J30">
            <v>3085</v>
          </cell>
        </row>
        <row r="35">
          <cell r="G35">
            <v>1000</v>
          </cell>
          <cell r="H35">
            <v>4440</v>
          </cell>
          <cell r="I35">
            <v>2325</v>
          </cell>
          <cell r="J35">
            <v>0</v>
          </cell>
        </row>
        <row r="46">
          <cell r="G46">
            <v>20685</v>
          </cell>
          <cell r="H46">
            <v>13200</v>
          </cell>
          <cell r="I46">
            <v>39290</v>
          </cell>
          <cell r="J46">
            <v>1200</v>
          </cell>
        </row>
        <row r="51">
          <cell r="G51">
            <v>13770</v>
          </cell>
          <cell r="H51">
            <v>8460</v>
          </cell>
          <cell r="I51">
            <v>13770</v>
          </cell>
          <cell r="J51">
            <v>8460</v>
          </cell>
        </row>
        <row r="55">
          <cell r="G55">
            <v>5100</v>
          </cell>
          <cell r="H55">
            <v>18490</v>
          </cell>
        </row>
        <row r="61">
          <cell r="I61">
            <v>17511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ear 4"/>
      <sheetName val="Year 5"/>
    </sheetNames>
    <sheetDataSet>
      <sheetData sheetId="0">
        <row r="14">
          <cell r="G14">
            <v>69692.072</v>
          </cell>
        </row>
        <row r="15">
          <cell r="H15">
            <v>27522</v>
          </cell>
        </row>
        <row r="18">
          <cell r="H18">
            <v>66978</v>
          </cell>
        </row>
        <row r="20">
          <cell r="H20">
            <v>4255</v>
          </cell>
        </row>
        <row r="29">
          <cell r="H29">
            <v>7389</v>
          </cell>
          <cell r="I29">
            <v>7389</v>
          </cell>
        </row>
        <row r="33">
          <cell r="H33">
            <v>11500</v>
          </cell>
        </row>
        <row r="35">
          <cell r="G35">
            <v>4820</v>
          </cell>
        </row>
        <row r="39">
          <cell r="H39">
            <v>6160</v>
          </cell>
        </row>
        <row r="47">
          <cell r="I47">
            <v>17166</v>
          </cell>
          <cell r="J47">
            <v>17166</v>
          </cell>
        </row>
        <row r="48">
          <cell r="G48">
            <v>25980</v>
          </cell>
        </row>
        <row r="49">
          <cell r="I49">
            <v>21750</v>
          </cell>
        </row>
        <row r="50">
          <cell r="I50">
            <v>15045</v>
          </cell>
        </row>
        <row r="57">
          <cell r="G57">
            <v>5310</v>
          </cell>
          <cell r="I57">
            <v>5310</v>
          </cell>
        </row>
        <row r="60">
          <cell r="H60">
            <v>7650</v>
          </cell>
        </row>
        <row r="63">
          <cell r="I63">
            <v>16679</v>
          </cell>
        </row>
      </sheetData>
      <sheetData sheetId="1">
        <row r="48">
          <cell r="G48">
            <v>6000</v>
          </cell>
          <cell r="H48">
            <v>6000</v>
          </cell>
          <cell r="I48">
            <v>6000</v>
          </cell>
          <cell r="J48">
            <v>6000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ear 4"/>
      <sheetName val="Year 5"/>
      <sheetName val="Sheet2"/>
      <sheetName val="Sheet1"/>
    </sheetNames>
    <sheetDataSet>
      <sheetData sheetId="0">
        <row r="8">
          <cell r="H8">
            <v>28160</v>
          </cell>
        </row>
        <row r="9">
          <cell r="H9">
            <v>2800</v>
          </cell>
        </row>
        <row r="10">
          <cell r="H10">
            <v>13500</v>
          </cell>
        </row>
        <row r="11">
          <cell r="H11">
            <v>3000</v>
          </cell>
        </row>
        <row r="12">
          <cell r="H12">
            <v>450</v>
          </cell>
        </row>
        <row r="19">
          <cell r="J19">
            <v>68800</v>
          </cell>
        </row>
        <row r="23">
          <cell r="G23">
            <v>1500</v>
          </cell>
        </row>
        <row r="24">
          <cell r="H24">
            <v>4790</v>
          </cell>
        </row>
        <row r="25">
          <cell r="H25">
            <v>5000</v>
          </cell>
        </row>
        <row r="26">
          <cell r="G26">
            <v>6340</v>
          </cell>
          <cell r="I26">
            <v>6340</v>
          </cell>
        </row>
        <row r="30">
          <cell r="G30">
            <v>474</v>
          </cell>
          <cell r="H30">
            <v>474</v>
          </cell>
        </row>
        <row r="34">
          <cell r="G34">
            <v>3085</v>
          </cell>
          <cell r="H34">
            <v>3085</v>
          </cell>
          <cell r="I34">
            <v>6170</v>
          </cell>
          <cell r="J34">
            <v>3085</v>
          </cell>
        </row>
        <row r="38">
          <cell r="G38">
            <v>1000</v>
          </cell>
        </row>
        <row r="40">
          <cell r="I40">
            <v>2325</v>
          </cell>
        </row>
        <row r="43">
          <cell r="H43">
            <v>22500</v>
          </cell>
        </row>
        <row r="46">
          <cell r="G46">
            <v>999</v>
          </cell>
          <cell r="H46">
            <v>999</v>
          </cell>
        </row>
        <row r="51">
          <cell r="H51">
            <v>10000</v>
          </cell>
        </row>
        <row r="52">
          <cell r="G52">
            <v>4900</v>
          </cell>
        </row>
        <row r="56">
          <cell r="G56">
            <v>2460</v>
          </cell>
          <cell r="H56">
            <v>2460</v>
          </cell>
          <cell r="I56">
            <v>2460</v>
          </cell>
          <cell r="J56">
            <v>2460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ear 4"/>
      <sheetName val="Year 5"/>
    </sheetNames>
    <sheetDataSet>
      <sheetData sheetId="0">
        <row r="16">
          <cell r="H16">
            <v>4950</v>
          </cell>
        </row>
        <row r="59">
          <cell r="H59">
            <v>4950</v>
          </cell>
        </row>
        <row r="63">
          <cell r="J63">
            <v>7890</v>
          </cell>
        </row>
      </sheetData>
      <sheetData sheetId="1">
        <row r="58">
          <cell r="H58">
            <v>7440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V151"/>
  <sheetViews>
    <sheetView tabSelected="1" view="pageBreakPreview" zoomScaleSheetLayoutView="100" zoomScalePageLayoutView="0" workbookViewId="0" topLeftCell="D1">
      <selection activeCell="P1" sqref="P1"/>
    </sheetView>
  </sheetViews>
  <sheetFormatPr defaultColWidth="9.140625" defaultRowHeight="15"/>
  <cols>
    <col min="1" max="1" width="6.7109375" style="140" customWidth="1"/>
    <col min="2" max="2" width="31.7109375" style="141" customWidth="1"/>
    <col min="3" max="3" width="30.8515625" style="4" customWidth="1"/>
    <col min="4" max="4" width="28.8515625" style="1" customWidth="1"/>
    <col min="5" max="5" width="14.28125" style="4" customWidth="1"/>
    <col min="6" max="6" width="11.57421875" style="4" customWidth="1"/>
    <col min="7" max="7" width="11.421875" style="5" customWidth="1"/>
    <col min="8" max="8" width="10.7109375" style="5" customWidth="1"/>
    <col min="9" max="9" width="11.8515625" style="1" customWidth="1"/>
    <col min="10" max="10" width="12.28125" style="1" customWidth="1"/>
    <col min="11" max="11" width="12.00390625" style="1" customWidth="1"/>
    <col min="12" max="12" width="11.28125" style="1" customWidth="1"/>
    <col min="13" max="13" width="11.7109375" style="1" customWidth="1"/>
    <col min="14" max="14" width="17.8515625" style="1" customWidth="1"/>
    <col min="15" max="15" width="11.140625" style="1" customWidth="1"/>
    <col min="16" max="16" width="9.7109375" style="1" customWidth="1"/>
    <col min="17" max="17" width="9.8515625" style="1" customWidth="1"/>
    <col min="18" max="18" width="10.7109375" style="1" customWidth="1"/>
    <col min="19" max="20" width="12.421875" style="1" customWidth="1"/>
    <col min="21" max="21" width="7.7109375" style="1" customWidth="1"/>
    <col min="22" max="40" width="9.140625" style="140" customWidth="1"/>
    <col min="41" max="41" width="11.00390625" style="140" customWidth="1"/>
    <col min="42" max="42" width="9.140625" style="140" customWidth="1"/>
    <col min="43" max="43" width="40.00390625" style="140" hidden="1" customWidth="1"/>
    <col min="44" max="44" width="28.7109375" style="140" customWidth="1"/>
    <col min="45" max="45" width="33.140625" style="140" bestFit="1" customWidth="1"/>
    <col min="46" max="46" width="22.28125" style="140" bestFit="1" customWidth="1"/>
    <col min="47" max="47" width="28.7109375" style="140" bestFit="1" customWidth="1"/>
    <col min="48" max="48" width="22.28125" style="140" bestFit="1" customWidth="1"/>
    <col min="49" max="16384" width="9.140625" style="140" customWidth="1"/>
  </cols>
  <sheetData>
    <row r="1" spans="1:43" s="1" customFormat="1" ht="12" thickBot="1">
      <c r="A1" s="197" t="s">
        <v>87</v>
      </c>
      <c r="B1" s="197"/>
      <c r="C1" s="197"/>
      <c r="D1" s="197"/>
      <c r="E1" s="198" t="s">
        <v>14</v>
      </c>
      <c r="F1" s="199"/>
      <c r="G1" s="199"/>
      <c r="H1" s="199"/>
      <c r="I1" s="200"/>
      <c r="AO1" s="2"/>
      <c r="AP1" s="2"/>
      <c r="AQ1" s="3" t="s">
        <v>15</v>
      </c>
    </row>
    <row r="2" spans="1:43" s="1" customFormat="1" ht="11.25">
      <c r="A2" s="201" t="s">
        <v>16</v>
      </c>
      <c r="B2" s="201"/>
      <c r="C2" s="201"/>
      <c r="D2" s="3"/>
      <c r="E2" s="4"/>
      <c r="F2" s="4"/>
      <c r="G2" s="5"/>
      <c r="H2" s="5"/>
      <c r="AO2" s="2"/>
      <c r="AP2" s="2"/>
      <c r="AQ2" s="3"/>
    </row>
    <row r="3" spans="1:43" s="1" customFormat="1" ht="11.25">
      <c r="A3" s="202" t="s">
        <v>17</v>
      </c>
      <c r="B3" s="202"/>
      <c r="C3" s="6"/>
      <c r="E3" s="4"/>
      <c r="F3" s="4"/>
      <c r="G3" s="5"/>
      <c r="H3" s="5"/>
      <c r="AO3" s="2"/>
      <c r="AP3" s="2"/>
      <c r="AQ3" s="7" t="s">
        <v>14</v>
      </c>
    </row>
    <row r="4" spans="1:43" s="1" customFormat="1" ht="11.25">
      <c r="A4" s="203" t="s">
        <v>18</v>
      </c>
      <c r="B4" s="204"/>
      <c r="C4" s="205" t="s">
        <v>19</v>
      </c>
      <c r="D4" s="206"/>
      <c r="AO4" s="2"/>
      <c r="AP4" s="2"/>
      <c r="AQ4" s="7" t="s">
        <v>20</v>
      </c>
    </row>
    <row r="5" spans="1:43" s="1" customFormat="1" ht="11.25">
      <c r="A5" s="193" t="s">
        <v>21</v>
      </c>
      <c r="B5" s="194"/>
      <c r="C5" s="207" t="s">
        <v>22</v>
      </c>
      <c r="D5" s="196"/>
      <c r="AO5" s="2"/>
      <c r="AP5" s="2"/>
      <c r="AQ5" s="7" t="s">
        <v>23</v>
      </c>
    </row>
    <row r="6" spans="1:43" s="1" customFormat="1" ht="11.25">
      <c r="A6" s="193" t="s">
        <v>24</v>
      </c>
      <c r="B6" s="194"/>
      <c r="C6" s="207" t="s">
        <v>86</v>
      </c>
      <c r="D6" s="196"/>
      <c r="AO6" s="2"/>
      <c r="AP6" s="2"/>
      <c r="AQ6" s="7" t="s">
        <v>26</v>
      </c>
    </row>
    <row r="7" spans="1:43" s="1" customFormat="1" ht="11.25">
      <c r="A7" s="193" t="s">
        <v>27</v>
      </c>
      <c r="B7" s="194"/>
      <c r="C7" s="195" t="s">
        <v>28</v>
      </c>
      <c r="D7" s="196"/>
      <c r="AO7" s="2"/>
      <c r="AP7" s="2"/>
      <c r="AQ7" s="2" t="s">
        <v>29</v>
      </c>
    </row>
    <row r="8" spans="1:48" s="8" customFormat="1" ht="11.25">
      <c r="A8" s="215" t="s">
        <v>30</v>
      </c>
      <c r="B8" s="216"/>
      <c r="C8" s="217" t="s">
        <v>31</v>
      </c>
      <c r="D8" s="218"/>
      <c r="AO8" s="2"/>
      <c r="AP8" s="2"/>
      <c r="AQ8" s="2"/>
      <c r="AR8" s="1"/>
      <c r="AS8" s="1"/>
      <c r="AT8" s="1"/>
      <c r="AU8" s="1"/>
      <c r="AV8" s="1"/>
    </row>
    <row r="9" spans="1:43" s="1" customFormat="1" ht="11.25">
      <c r="A9" s="219"/>
      <c r="B9" s="219"/>
      <c r="C9" s="219"/>
      <c r="D9" s="219"/>
      <c r="E9" s="220" t="s">
        <v>32</v>
      </c>
      <c r="F9" s="220"/>
      <c r="G9" s="220"/>
      <c r="H9" s="220"/>
      <c r="I9" s="220"/>
      <c r="J9" s="220"/>
      <c r="K9" s="220"/>
      <c r="L9" s="220"/>
      <c r="M9" s="220"/>
      <c r="N9" s="220"/>
      <c r="O9" s="220"/>
      <c r="P9" s="220"/>
      <c r="Q9" s="220"/>
      <c r="R9" s="220"/>
      <c r="S9" s="220"/>
      <c r="AO9" s="2" t="str">
        <f>IF(E1="HIV_AIDS","lismac",IF(E1="HIV_TB","lismacHT",IF(E1="Malaria","lismacM",IF(E1="Tuberculosis","lismacT",IF(E1="HSS","listmacHss","")))))</f>
        <v>lismac</v>
      </c>
      <c r="AP9" s="2"/>
      <c r="AQ9" s="2"/>
    </row>
    <row r="10" spans="1:43" s="1" customFormat="1" ht="11.25">
      <c r="A10" s="9"/>
      <c r="B10" s="10"/>
      <c r="C10" s="10"/>
      <c r="D10" s="11"/>
      <c r="E10" s="190" t="s">
        <v>88</v>
      </c>
      <c r="F10" s="190" t="s">
        <v>89</v>
      </c>
      <c r="G10" s="190" t="s">
        <v>90</v>
      </c>
      <c r="H10" s="190" t="s">
        <v>91</v>
      </c>
      <c r="I10" s="12"/>
      <c r="J10" s="190" t="s">
        <v>92</v>
      </c>
      <c r="K10" s="190" t="s">
        <v>93</v>
      </c>
      <c r="L10" s="190" t="s">
        <v>94</v>
      </c>
      <c r="M10" s="190" t="s">
        <v>95</v>
      </c>
      <c r="N10" s="12"/>
      <c r="O10" s="190" t="s">
        <v>96</v>
      </c>
      <c r="P10" s="190" t="s">
        <v>97</v>
      </c>
      <c r="Q10" s="190" t="s">
        <v>98</v>
      </c>
      <c r="R10" s="190" t="s">
        <v>99</v>
      </c>
      <c r="AO10" s="2"/>
      <c r="AP10" s="2"/>
      <c r="AQ10" s="2"/>
    </row>
    <row r="11" spans="1:47" s="1" customFormat="1" ht="19.5" customHeight="1">
      <c r="A11" s="221" t="s">
        <v>33</v>
      </c>
      <c r="B11" s="222"/>
      <c r="C11" s="223"/>
      <c r="D11" s="224"/>
      <c r="E11" s="13">
        <v>40210</v>
      </c>
      <c r="F11" s="144">
        <v>40299</v>
      </c>
      <c r="G11" s="144">
        <v>40391</v>
      </c>
      <c r="H11" s="144">
        <v>40483</v>
      </c>
      <c r="I11" s="145"/>
      <c r="J11" s="191">
        <v>40575</v>
      </c>
      <c r="K11" s="144">
        <v>40664</v>
      </c>
      <c r="L11" s="144">
        <v>40756</v>
      </c>
      <c r="M11" s="144">
        <v>40848</v>
      </c>
      <c r="N11" s="146"/>
      <c r="O11" s="13">
        <v>40940</v>
      </c>
      <c r="P11" s="144">
        <v>41030</v>
      </c>
      <c r="Q11" s="144">
        <v>41122</v>
      </c>
      <c r="R11" s="144">
        <v>41214</v>
      </c>
      <c r="S11" s="192"/>
      <c r="AU11" s="14"/>
    </row>
    <row r="12" spans="1:47" s="1" customFormat="1" ht="20.25" customHeight="1">
      <c r="A12" s="221" t="s">
        <v>34</v>
      </c>
      <c r="B12" s="222"/>
      <c r="C12" s="223"/>
      <c r="D12" s="224"/>
      <c r="E12" s="13">
        <v>40298</v>
      </c>
      <c r="F12" s="144">
        <v>40390</v>
      </c>
      <c r="G12" s="144">
        <v>40482</v>
      </c>
      <c r="H12" s="144">
        <v>40574</v>
      </c>
      <c r="I12" s="145"/>
      <c r="J12" s="147">
        <v>40663</v>
      </c>
      <c r="K12" s="144">
        <v>40755</v>
      </c>
      <c r="L12" s="144">
        <v>40847</v>
      </c>
      <c r="M12" s="144">
        <v>40939</v>
      </c>
      <c r="N12" s="146"/>
      <c r="O12" s="13">
        <v>41029</v>
      </c>
      <c r="P12" s="144">
        <v>41121</v>
      </c>
      <c r="Q12" s="144">
        <v>41213</v>
      </c>
      <c r="R12" s="144">
        <v>41305</v>
      </c>
      <c r="S12" s="192"/>
      <c r="AU12" s="15"/>
    </row>
    <row r="13" spans="1:47" s="1" customFormat="1" ht="11.25">
      <c r="A13" s="16"/>
      <c r="B13" s="16"/>
      <c r="C13" s="16"/>
      <c r="D13" s="17"/>
      <c r="J13" s="148"/>
      <c r="N13" s="143"/>
      <c r="S13" s="149"/>
      <c r="AU13" s="18"/>
    </row>
    <row r="14" spans="1:47" s="1" customFormat="1" ht="11.25">
      <c r="A14" s="19" t="s">
        <v>35</v>
      </c>
      <c r="B14" s="20"/>
      <c r="C14" s="20"/>
      <c r="D14" s="19"/>
      <c r="E14" s="21"/>
      <c r="F14" s="21"/>
      <c r="G14" s="21"/>
      <c r="H14" s="21"/>
      <c r="I14" s="21"/>
      <c r="J14" s="21"/>
      <c r="K14" s="21"/>
      <c r="L14" s="21"/>
      <c r="M14" s="21"/>
      <c r="N14" s="21"/>
      <c r="O14" s="21"/>
      <c r="P14" s="21"/>
      <c r="Q14" s="21"/>
      <c r="R14" s="21"/>
      <c r="S14" s="21"/>
      <c r="T14" s="21"/>
      <c r="U14" s="21"/>
      <c r="AU14" s="18"/>
    </row>
    <row r="15" spans="2:21" s="22" customFormat="1" ht="12.75" thickBot="1">
      <c r="B15" s="23"/>
      <c r="C15" s="24"/>
      <c r="D15" s="24"/>
      <c r="E15" s="24"/>
      <c r="F15" s="24"/>
      <c r="G15" s="24"/>
      <c r="H15" s="24"/>
      <c r="I15" s="24"/>
      <c r="J15" s="24"/>
      <c r="K15" s="24"/>
      <c r="L15" s="24"/>
      <c r="M15" s="24"/>
      <c r="N15" s="24"/>
      <c r="O15" s="24"/>
      <c r="P15" s="24"/>
      <c r="Q15" s="24"/>
      <c r="R15" s="24"/>
      <c r="S15" s="24"/>
      <c r="T15" s="24"/>
      <c r="U15" s="24"/>
    </row>
    <row r="16" spans="1:47" s="1" customFormat="1" ht="11.25">
      <c r="A16" s="225" t="s">
        <v>36</v>
      </c>
      <c r="B16" s="227" t="s">
        <v>37</v>
      </c>
      <c r="C16" s="227"/>
      <c r="D16" s="228"/>
      <c r="E16" s="231" t="str">
        <f>IF(OR(C8="Phase 1",C8="Consolidated Phase 1",C8="RCC I"),"Year 1",IF(OR(C8="Phase 2",C8="Consolidated Phase 2"),"Year 3",IF(C8="RCC II","Year 5","")))</f>
        <v>Year 3</v>
      </c>
      <c r="F16" s="208"/>
      <c r="G16" s="208"/>
      <c r="H16" s="208"/>
      <c r="I16" s="25" t="s">
        <v>38</v>
      </c>
      <c r="J16" s="208" t="str">
        <f>IF(OR(C8="Phase 1",C8="Consolidated Phase 1",C8="RCC I"),"Year 2",IF(OR(C8="Phase 2",C8="Consolidated Phase 2"),"Year 4",IF(C8="RCC II","Year 5","")))</f>
        <v>Year 4</v>
      </c>
      <c r="K16" s="208"/>
      <c r="L16" s="208"/>
      <c r="M16" s="209"/>
      <c r="N16" s="25" t="s">
        <v>38</v>
      </c>
      <c r="O16" s="210" t="s">
        <v>13</v>
      </c>
      <c r="P16" s="211"/>
      <c r="Q16" s="211"/>
      <c r="R16" s="212"/>
      <c r="S16" s="213" t="str">
        <f>IF(OR(C8="Phase 1",C8="Consolidated Phase 1"),"N/A",IF(OR(C8="Phase 2",C8="Consolidated Phase 2"),"Year 5",IF(C8="RCC I","Year 3",IF(C8="RCC II","Year 6",""))))</f>
        <v>Year 5</v>
      </c>
      <c r="T16" s="25" t="s">
        <v>39</v>
      </c>
      <c r="U16" s="26"/>
      <c r="AU16" s="18"/>
    </row>
    <row r="17" spans="1:47" s="1" customFormat="1" ht="21" customHeight="1" thickBot="1">
      <c r="A17" s="226"/>
      <c r="B17" s="229"/>
      <c r="C17" s="229"/>
      <c r="D17" s="230"/>
      <c r="E17" s="27" t="str">
        <f>E10</f>
        <v>P9</v>
      </c>
      <c r="F17" s="27" t="str">
        <f>F10</f>
        <v>P10</v>
      </c>
      <c r="G17" s="27" t="str">
        <f>G10</f>
        <v>P11</v>
      </c>
      <c r="H17" s="28" t="str">
        <f>H10</f>
        <v>P12</v>
      </c>
      <c r="I17" s="29" t="str">
        <f>E16</f>
        <v>Year 3</v>
      </c>
      <c r="J17" s="27" t="str">
        <f>J10</f>
        <v>P13</v>
      </c>
      <c r="K17" s="27" t="str">
        <f>K10</f>
        <v>P14</v>
      </c>
      <c r="L17" s="27" t="str">
        <f>L10</f>
        <v>P15</v>
      </c>
      <c r="M17" s="28" t="str">
        <f>M10</f>
        <v>P16</v>
      </c>
      <c r="N17" s="29" t="str">
        <f>J16</f>
        <v>Year 4</v>
      </c>
      <c r="O17" s="30" t="str">
        <f>O10</f>
        <v>P17</v>
      </c>
      <c r="P17" s="31" t="str">
        <f>P10</f>
        <v>P18</v>
      </c>
      <c r="Q17" s="31" t="str">
        <f>Q10</f>
        <v>P19</v>
      </c>
      <c r="R17" s="32" t="str">
        <f>R10</f>
        <v>P20</v>
      </c>
      <c r="S17" s="214">
        <f>IF(OR(H9="Phase 1",H9="RCC 1"),"Year 2",IF(H9="Phase 2","Year 3",IF(H9="RCC 2","Year 5","")))</f>
      </c>
      <c r="T17" s="33" t="str">
        <f>C8</f>
        <v>Phase 2</v>
      </c>
      <c r="U17" s="34" t="s">
        <v>40</v>
      </c>
      <c r="AU17" s="18"/>
    </row>
    <row r="18" spans="1:47" s="1" customFormat="1" ht="11.25">
      <c r="A18" s="35">
        <v>1</v>
      </c>
      <c r="B18" s="234" t="s">
        <v>41</v>
      </c>
      <c r="C18" s="235"/>
      <c r="D18" s="235"/>
      <c r="E18" s="36"/>
      <c r="F18" s="37"/>
      <c r="G18" s="37"/>
      <c r="H18" s="38">
        <f>0</f>
        <v>0</v>
      </c>
      <c r="I18" s="39">
        <f aca="true" t="shared" si="0" ref="I18:I30">SUM(E18:H18)</f>
        <v>0</v>
      </c>
      <c r="J18" s="40">
        <f>'[5]Year 5'!$G$48</f>
        <v>6000</v>
      </c>
      <c r="K18" s="41">
        <f>'[5]Year 5'!$H$48</f>
        <v>6000</v>
      </c>
      <c r="L18" s="41">
        <f>'[5]Year 5'!$I$48</f>
        <v>6000</v>
      </c>
      <c r="M18" s="42">
        <f>'[5]Year 5'!$J$48</f>
        <v>6000</v>
      </c>
      <c r="N18" s="39">
        <f aca="true" t="shared" si="1" ref="N18:N30">SUM(J18:M18)</f>
        <v>24000</v>
      </c>
      <c r="O18" s="43">
        <v>6000</v>
      </c>
      <c r="P18" s="44">
        <v>6000</v>
      </c>
      <c r="Q18" s="44">
        <v>6000</v>
      </c>
      <c r="R18" s="45">
        <v>6000</v>
      </c>
      <c r="S18" s="39">
        <f aca="true" t="shared" si="2" ref="S18:S30">SUM(O18:R18)</f>
        <v>24000</v>
      </c>
      <c r="T18" s="46">
        <f aca="true" t="shared" si="3" ref="T18:T30">N18+I18+S18</f>
        <v>48000</v>
      </c>
      <c r="U18" s="162">
        <f aca="true" t="shared" si="4" ref="U18:U31">IF(T18&gt;0,(T18/$T$31),"")</f>
        <v>0.0287636617385901</v>
      </c>
      <c r="AU18" s="18"/>
    </row>
    <row r="19" spans="1:47" s="1" customFormat="1" ht="11.25">
      <c r="A19" s="47">
        <v>2</v>
      </c>
      <c r="B19" s="236" t="s">
        <v>42</v>
      </c>
      <c r="C19" s="237"/>
      <c r="D19" s="237"/>
      <c r="E19" s="48">
        <f>'[1]Year 3'!G77</f>
        <v>1950</v>
      </c>
      <c r="F19" s="48">
        <f>'[1]Year 3'!H77</f>
        <v>1950</v>
      </c>
      <c r="G19" s="48">
        <f>'[1]Year 3'!I77</f>
        <v>1950</v>
      </c>
      <c r="H19" s="48">
        <f>'[1]Year 3'!J77</f>
        <v>1950</v>
      </c>
      <c r="I19" s="49">
        <f t="shared" si="0"/>
        <v>7800</v>
      </c>
      <c r="J19" s="50">
        <v>0</v>
      </c>
      <c r="K19" s="51">
        <v>0</v>
      </c>
      <c r="L19" s="51">
        <v>0</v>
      </c>
      <c r="M19" s="52">
        <v>0</v>
      </c>
      <c r="N19" s="49">
        <f t="shared" si="1"/>
        <v>0</v>
      </c>
      <c r="O19" s="50">
        <v>5100</v>
      </c>
      <c r="P19" s="51"/>
      <c r="Q19" s="51"/>
      <c r="R19" s="52"/>
      <c r="S19" s="170">
        <f t="shared" si="2"/>
        <v>5100</v>
      </c>
      <c r="T19" s="167">
        <f t="shared" si="3"/>
        <v>12900</v>
      </c>
      <c r="U19" s="163">
        <f t="shared" si="4"/>
        <v>0.00773023409224609</v>
      </c>
      <c r="AU19" s="18"/>
    </row>
    <row r="20" spans="1:47" s="1" customFormat="1" ht="11.25">
      <c r="A20" s="47">
        <v>3</v>
      </c>
      <c r="B20" s="236" t="s">
        <v>43</v>
      </c>
      <c r="C20" s="237"/>
      <c r="D20" s="237"/>
      <c r="E20" s="48">
        <v>101515</v>
      </c>
      <c r="F20" s="53">
        <f>21495+18580+2225+5095+9235+9000+25000+4580+15000</f>
        <v>110210</v>
      </c>
      <c r="G20" s="53">
        <f>10085+21495+6780+8680+5000+10900+8100+7930</f>
        <v>78970</v>
      </c>
      <c r="H20" s="54">
        <f>10085</f>
        <v>10085</v>
      </c>
      <c r="I20" s="49">
        <f t="shared" si="0"/>
        <v>300780</v>
      </c>
      <c r="J20" s="50">
        <f>'[5]Year 4'!$G$14+'[5]Year 4'!$G$35+'[5]Year 4'!$G$48+'[5]Year 4'!$G$57</f>
        <v>105802.072</v>
      </c>
      <c r="K20" s="51">
        <f>'[5]Year 4'!$H$15+'[5]Year 4'!$H$18+'[5]Year 4'!$H$20+'[5]Year 4'!$H$29+'[5]Year 4'!$H$33+'[5]Year 4'!$H$39+'[5]Year 4'!$H$60+'[7]Year 4'!$H$16+'[7]Year 4'!$H$59</f>
        <v>141354</v>
      </c>
      <c r="L20" s="51">
        <f>'[5]Year 4'!$I$29+'[5]Year 4'!$I$47+'[5]Year 4'!$I$57</f>
        <v>29865</v>
      </c>
      <c r="M20" s="52">
        <f>'[5]Year 4'!$J$47+'[7]Year 4'!$J$63</f>
        <v>25056</v>
      </c>
      <c r="N20" s="49">
        <f t="shared" si="1"/>
        <v>302077.072</v>
      </c>
      <c r="O20" s="50">
        <v>61050.12</v>
      </c>
      <c r="P20" s="51">
        <f>60249+'[7]Year 5'!$H$58</f>
        <v>67689</v>
      </c>
      <c r="Q20" s="51">
        <v>12810</v>
      </c>
      <c r="R20" s="52">
        <v>0</v>
      </c>
      <c r="S20" s="170">
        <f t="shared" si="2"/>
        <v>141549.12</v>
      </c>
      <c r="T20" s="167">
        <f t="shared" si="3"/>
        <v>744406.1919999999</v>
      </c>
      <c r="U20" s="163">
        <f t="shared" si="4"/>
        <v>0.4460801646416657</v>
      </c>
      <c r="AU20" s="18"/>
    </row>
    <row r="21" spans="1:47" s="1" customFormat="1" ht="11.25">
      <c r="A21" s="47">
        <v>4</v>
      </c>
      <c r="B21" s="236" t="s">
        <v>44</v>
      </c>
      <c r="C21" s="237"/>
      <c r="D21" s="237"/>
      <c r="E21" s="48">
        <f>0</f>
        <v>0</v>
      </c>
      <c r="F21" s="53">
        <v>13750</v>
      </c>
      <c r="G21" s="53">
        <f>'[1]Year 3'!I60</f>
        <v>21750</v>
      </c>
      <c r="H21" s="54">
        <f>0</f>
        <v>0</v>
      </c>
      <c r="I21" s="49">
        <f t="shared" si="0"/>
        <v>35500</v>
      </c>
      <c r="J21" s="55">
        <v>0</v>
      </c>
      <c r="K21" s="51">
        <v>0</v>
      </c>
      <c r="L21" s="51">
        <f>'[5]Year 4'!$I$49+'[5]Year 4'!$I$50</f>
        <v>36795</v>
      </c>
      <c r="M21" s="52">
        <v>0</v>
      </c>
      <c r="N21" s="49">
        <f t="shared" si="1"/>
        <v>36795</v>
      </c>
      <c r="O21" s="50">
        <v>0</v>
      </c>
      <c r="P21" s="51">
        <v>0</v>
      </c>
      <c r="Q21" s="51">
        <v>38090</v>
      </c>
      <c r="R21" s="52">
        <v>0</v>
      </c>
      <c r="S21" s="170">
        <f t="shared" si="2"/>
        <v>38090</v>
      </c>
      <c r="T21" s="167">
        <f t="shared" si="3"/>
        <v>110385</v>
      </c>
      <c r="U21" s="163">
        <f t="shared" si="4"/>
        <v>0.06614743335446392</v>
      </c>
      <c r="AU21" s="18"/>
    </row>
    <row r="22" spans="1:21" s="1" customFormat="1" ht="11.25">
      <c r="A22" s="47">
        <v>5</v>
      </c>
      <c r="B22" s="236" t="s">
        <v>45</v>
      </c>
      <c r="C22" s="237"/>
      <c r="D22" s="237"/>
      <c r="E22" s="48"/>
      <c r="F22" s="53">
        <f>0</f>
        <v>0</v>
      </c>
      <c r="G22" s="53">
        <f>40419.04</f>
        <v>40419.04</v>
      </c>
      <c r="H22" s="54">
        <f>0</f>
        <v>0</v>
      </c>
      <c r="I22" s="49">
        <f t="shared" si="0"/>
        <v>40419.04</v>
      </c>
      <c r="J22" s="50"/>
      <c r="K22" s="51"/>
      <c r="L22" s="51">
        <f>'[5]Year 4'!$I$63</f>
        <v>16679</v>
      </c>
      <c r="M22" s="52"/>
      <c r="N22" s="49">
        <f t="shared" si="1"/>
        <v>16679</v>
      </c>
      <c r="O22" s="50"/>
      <c r="P22" s="51"/>
      <c r="Q22" s="51">
        <v>17511</v>
      </c>
      <c r="R22" s="52"/>
      <c r="S22" s="170">
        <f t="shared" si="2"/>
        <v>17511</v>
      </c>
      <c r="T22" s="167">
        <f t="shared" si="3"/>
        <v>74609.04000000001</v>
      </c>
      <c r="U22" s="163">
        <f t="shared" si="4"/>
        <v>0.044708941441686224</v>
      </c>
    </row>
    <row r="23" spans="1:21" s="1" customFormat="1" ht="11.25">
      <c r="A23" s="47">
        <v>6</v>
      </c>
      <c r="B23" s="232" t="s">
        <v>46</v>
      </c>
      <c r="C23" s="233"/>
      <c r="D23" s="233"/>
      <c r="E23" s="48">
        <f>51781-2130-13050</f>
        <v>36601</v>
      </c>
      <c r="F23" s="53">
        <f>0</f>
        <v>0</v>
      </c>
      <c r="G23" s="53">
        <f>0</f>
        <v>0</v>
      </c>
      <c r="H23" s="54">
        <f>0</f>
        <v>0</v>
      </c>
      <c r="I23" s="49">
        <f t="shared" si="0"/>
        <v>36601</v>
      </c>
      <c r="J23" s="50">
        <v>0</v>
      </c>
      <c r="K23" s="51">
        <v>0</v>
      </c>
      <c r="L23" s="51">
        <v>0</v>
      </c>
      <c r="M23" s="52">
        <v>0</v>
      </c>
      <c r="N23" s="49">
        <f t="shared" si="1"/>
        <v>0</v>
      </c>
      <c r="O23" s="50"/>
      <c r="P23" s="51"/>
      <c r="Q23" s="51"/>
      <c r="R23" s="52"/>
      <c r="S23" s="170">
        <f t="shared" si="2"/>
        <v>0</v>
      </c>
      <c r="T23" s="167">
        <f t="shared" si="3"/>
        <v>36601</v>
      </c>
      <c r="U23" s="163">
        <f t="shared" si="4"/>
        <v>0.02193289131862784</v>
      </c>
    </row>
    <row r="24" spans="1:21" s="1" customFormat="1" ht="11.25">
      <c r="A24" s="56">
        <v>7</v>
      </c>
      <c r="B24" s="232" t="s">
        <v>47</v>
      </c>
      <c r="C24" s="233"/>
      <c r="D24" s="233"/>
      <c r="E24" s="48">
        <f>0</f>
        <v>0</v>
      </c>
      <c r="F24" s="53">
        <v>4500</v>
      </c>
      <c r="G24" s="53">
        <v>0</v>
      </c>
      <c r="H24" s="54">
        <v>0</v>
      </c>
      <c r="I24" s="49">
        <f t="shared" si="0"/>
        <v>4500</v>
      </c>
      <c r="J24" s="50">
        <f>'[6]Year 4'!$G$52</f>
        <v>4900</v>
      </c>
      <c r="K24" s="51">
        <f>'[6]Year 4'!$H$8+'[6]Year 4'!$H$9+'[6]Year 4'!$H$10+'[6]Year 4'!$H$11+'[6]Year 4'!$H$12</f>
        <v>47910</v>
      </c>
      <c r="L24" s="51">
        <v>0</v>
      </c>
      <c r="M24" s="52">
        <v>0</v>
      </c>
      <c r="N24" s="49">
        <f t="shared" si="1"/>
        <v>52810</v>
      </c>
      <c r="O24" s="50"/>
      <c r="P24" s="51"/>
      <c r="Q24" s="51"/>
      <c r="R24" s="52"/>
      <c r="S24" s="170">
        <f t="shared" si="2"/>
        <v>0</v>
      </c>
      <c r="T24" s="167">
        <f t="shared" si="3"/>
        <v>57310</v>
      </c>
      <c r="U24" s="163">
        <f t="shared" si="4"/>
        <v>0.034342613629970806</v>
      </c>
    </row>
    <row r="25" spans="1:21" s="1" customFormat="1" ht="11.25">
      <c r="A25" s="57">
        <v>8</v>
      </c>
      <c r="B25" s="232" t="s">
        <v>48</v>
      </c>
      <c r="C25" s="233"/>
      <c r="D25" s="233"/>
      <c r="E25" s="48">
        <f>5000+5000+3000+2517.5+10000+984+338</f>
        <v>26839.5</v>
      </c>
      <c r="F25" s="53">
        <f>3450+2517.5+2517.5+6000+13680</f>
        <v>28165</v>
      </c>
      <c r="G25" s="53">
        <f>6960+2517.5+3600</f>
        <v>13077.5</v>
      </c>
      <c r="H25" s="54">
        <f>68800</f>
        <v>68800</v>
      </c>
      <c r="I25" s="49">
        <f t="shared" si="0"/>
        <v>136882</v>
      </c>
      <c r="J25" s="50">
        <f>'[6]Year 4'!$G$23+'[6]Year 4'!$G$34+'[6]Year 4'!$G$38</f>
        <v>5585</v>
      </c>
      <c r="K25" s="51">
        <f>'[6]Year 4'!$H$24+'[6]Year 4'!$H$25+'[6]Year 4'!$H$34+'[6]Year 4'!$H$43+'[6]Year 4'!$H$51</f>
        <v>45375</v>
      </c>
      <c r="L25" s="51">
        <f>'[6]Year 4'!$I$34</f>
        <v>6170</v>
      </c>
      <c r="M25" s="52">
        <f>'[6]Year 4'!$J$19+'[6]Year 4'!$J$34</f>
        <v>71885</v>
      </c>
      <c r="N25" s="49">
        <f t="shared" si="1"/>
        <v>129015</v>
      </c>
      <c r="O25" s="50">
        <v>29585</v>
      </c>
      <c r="P25" s="51">
        <v>25375</v>
      </c>
      <c r="Q25" s="51">
        <v>8085</v>
      </c>
      <c r="R25" s="52">
        <v>71885</v>
      </c>
      <c r="S25" s="170">
        <f t="shared" si="2"/>
        <v>134930</v>
      </c>
      <c r="T25" s="167">
        <f t="shared" si="3"/>
        <v>400827</v>
      </c>
      <c r="U25" s="163">
        <f t="shared" si="4"/>
        <v>0.2401927550769553</v>
      </c>
    </row>
    <row r="26" spans="1:21" s="1" customFormat="1" ht="11.25">
      <c r="A26" s="57">
        <v>9</v>
      </c>
      <c r="B26" s="232" t="s">
        <v>49</v>
      </c>
      <c r="C26" s="233"/>
      <c r="D26" s="233"/>
      <c r="E26" s="48">
        <f>450+270+1251</f>
        <v>1971</v>
      </c>
      <c r="F26" s="53">
        <f>860+1251+270</f>
        <v>2381</v>
      </c>
      <c r="G26" s="53">
        <f>1251+270</f>
        <v>1521</v>
      </c>
      <c r="H26" s="54">
        <f>860+1860+450+1251+270</f>
        <v>4691</v>
      </c>
      <c r="I26" s="49">
        <f t="shared" si="0"/>
        <v>10564</v>
      </c>
      <c r="J26" s="50">
        <f>'[6]Year 4'!$G$56</f>
        <v>2460</v>
      </c>
      <c r="K26" s="51">
        <f>'[6]Year 4'!$H$56</f>
        <v>2460</v>
      </c>
      <c r="L26" s="51">
        <f>'[6]Year 4'!$I$56</f>
        <v>2460</v>
      </c>
      <c r="M26" s="52">
        <f>'[6]Year 4'!$J$56</f>
        <v>2460</v>
      </c>
      <c r="N26" s="49">
        <f t="shared" si="1"/>
        <v>9840</v>
      </c>
      <c r="O26" s="50">
        <v>62460</v>
      </c>
      <c r="P26" s="51">
        <f>38460+9000</f>
        <v>47460</v>
      </c>
      <c r="Q26" s="51">
        <v>2460</v>
      </c>
      <c r="R26" s="52">
        <v>2460</v>
      </c>
      <c r="S26" s="170">
        <f t="shared" si="2"/>
        <v>114840</v>
      </c>
      <c r="T26" s="167">
        <f t="shared" si="3"/>
        <v>135244</v>
      </c>
      <c r="U26" s="163">
        <f t="shared" si="4"/>
        <v>0.08104401392028916</v>
      </c>
    </row>
    <row r="27" spans="1:42" s="1" customFormat="1" ht="11.25">
      <c r="A27" s="57">
        <v>10</v>
      </c>
      <c r="B27" s="232" t="s">
        <v>50</v>
      </c>
      <c r="C27" s="233"/>
      <c r="D27" s="233"/>
      <c r="E27" s="48">
        <f>0</f>
        <v>0</v>
      </c>
      <c r="F27" s="53">
        <f>0</f>
        <v>0</v>
      </c>
      <c r="G27" s="53">
        <f>0</f>
        <v>0</v>
      </c>
      <c r="H27" s="54">
        <f>0</f>
        <v>0</v>
      </c>
      <c r="I27" s="49">
        <f t="shared" si="0"/>
        <v>0</v>
      </c>
      <c r="J27" s="50">
        <v>0</v>
      </c>
      <c r="K27" s="51">
        <v>0</v>
      </c>
      <c r="L27" s="51">
        <v>0</v>
      </c>
      <c r="M27" s="52">
        <v>0</v>
      </c>
      <c r="N27" s="49">
        <f t="shared" si="1"/>
        <v>0</v>
      </c>
      <c r="O27" s="50"/>
      <c r="P27" s="51"/>
      <c r="Q27" s="51"/>
      <c r="R27" s="52"/>
      <c r="S27" s="170">
        <f t="shared" si="2"/>
        <v>0</v>
      </c>
      <c r="T27" s="167">
        <f t="shared" si="3"/>
        <v>0</v>
      </c>
      <c r="U27" s="163">
        <f t="shared" si="4"/>
      </c>
      <c r="AP27" s="14"/>
    </row>
    <row r="28" spans="1:21" s="1" customFormat="1" ht="11.25">
      <c r="A28" s="57">
        <v>11</v>
      </c>
      <c r="B28" s="232" t="s">
        <v>51</v>
      </c>
      <c r="C28" s="233"/>
      <c r="D28" s="233"/>
      <c r="E28" s="48">
        <f>0</f>
        <v>0</v>
      </c>
      <c r="F28" s="53">
        <v>0</v>
      </c>
      <c r="G28" s="53">
        <v>0</v>
      </c>
      <c r="H28" s="54">
        <v>0</v>
      </c>
      <c r="I28" s="49">
        <f t="shared" si="0"/>
        <v>0</v>
      </c>
      <c r="J28" s="50">
        <f>'[6]Year 4'!$G$26</f>
        <v>6340</v>
      </c>
      <c r="K28" s="51">
        <v>0</v>
      </c>
      <c r="L28" s="51">
        <f>'[6]Year 4'!$I$26+'[6]Year 4'!$I$40</f>
        <v>8665</v>
      </c>
      <c r="M28" s="52">
        <v>0</v>
      </c>
      <c r="N28" s="49">
        <f t="shared" si="1"/>
        <v>15005</v>
      </c>
      <c r="O28" s="50">
        <v>6340</v>
      </c>
      <c r="P28" s="51"/>
      <c r="Q28" s="51">
        <v>8665</v>
      </c>
      <c r="R28" s="52"/>
      <c r="S28" s="170">
        <f t="shared" si="2"/>
        <v>15005</v>
      </c>
      <c r="T28" s="167">
        <f t="shared" si="3"/>
        <v>30010</v>
      </c>
      <c r="U28" s="163">
        <f t="shared" si="4"/>
        <v>0.017983281016147688</v>
      </c>
    </row>
    <row r="29" spans="1:21" s="1" customFormat="1" ht="11.25">
      <c r="A29" s="57">
        <v>12</v>
      </c>
      <c r="B29" s="232" t="s">
        <v>52</v>
      </c>
      <c r="C29" s="233"/>
      <c r="D29" s="233"/>
      <c r="E29" s="48">
        <f>474+999</f>
        <v>1473</v>
      </c>
      <c r="F29" s="53">
        <f>'[1]Year 3'!H35+'[1]Year 3'!H58</f>
        <v>1473</v>
      </c>
      <c r="G29" s="53">
        <f>'[1]Year 3'!I35+'[1]Year 3'!I58</f>
        <v>1473</v>
      </c>
      <c r="H29" s="53">
        <f>'[1]Year 3'!J35+'[1]Year 3'!J58</f>
        <v>1473</v>
      </c>
      <c r="I29" s="49">
        <f t="shared" si="0"/>
        <v>5892</v>
      </c>
      <c r="J29" s="50">
        <f>'[6]Year 4'!$G$30+'[6]Year 4'!$G$46</f>
        <v>1473</v>
      </c>
      <c r="K29" s="51">
        <f>'[6]Year 4'!$H$30+'[6]Year 4'!$H$46</f>
        <v>1473</v>
      </c>
      <c r="L29" s="51">
        <f>K29</f>
        <v>1473</v>
      </c>
      <c r="M29" s="52">
        <f>L29</f>
        <v>1473</v>
      </c>
      <c r="N29" s="49">
        <f t="shared" si="1"/>
        <v>5892</v>
      </c>
      <c r="O29" s="50">
        <v>1674</v>
      </c>
      <c r="P29" s="51">
        <v>1674</v>
      </c>
      <c r="Q29" s="51">
        <v>1674</v>
      </c>
      <c r="R29" s="52">
        <v>1674</v>
      </c>
      <c r="S29" s="170">
        <f t="shared" si="2"/>
        <v>6696</v>
      </c>
      <c r="T29" s="167">
        <f t="shared" si="3"/>
        <v>18480</v>
      </c>
      <c r="U29" s="163">
        <f t="shared" si="4"/>
        <v>0.011074009769357188</v>
      </c>
    </row>
    <row r="30" spans="1:21" s="1" customFormat="1" ht="12" thickBot="1">
      <c r="A30" s="58">
        <v>13</v>
      </c>
      <c r="B30" s="238" t="s">
        <v>53</v>
      </c>
      <c r="C30" s="239"/>
      <c r="D30" s="239"/>
      <c r="E30" s="59">
        <v>0</v>
      </c>
      <c r="F30" s="60">
        <v>0</v>
      </c>
      <c r="G30" s="60">
        <v>0</v>
      </c>
      <c r="H30" s="61">
        <v>0</v>
      </c>
      <c r="I30" s="62">
        <f t="shared" si="0"/>
        <v>0</v>
      </c>
      <c r="J30" s="63">
        <v>0</v>
      </c>
      <c r="K30" s="60">
        <v>0</v>
      </c>
      <c r="L30" s="60">
        <v>0</v>
      </c>
      <c r="M30" s="61">
        <v>0</v>
      </c>
      <c r="N30" s="62">
        <f t="shared" si="1"/>
        <v>0</v>
      </c>
      <c r="O30" s="64"/>
      <c r="P30" s="65"/>
      <c r="Q30" s="65"/>
      <c r="R30" s="66"/>
      <c r="S30" s="171">
        <f t="shared" si="2"/>
        <v>0</v>
      </c>
      <c r="T30" s="168">
        <f t="shared" si="3"/>
        <v>0</v>
      </c>
      <c r="U30" s="164">
        <f t="shared" si="4"/>
      </c>
    </row>
    <row r="31" spans="1:21" s="73" customFormat="1" ht="21" customHeight="1" thickBot="1">
      <c r="A31" s="240"/>
      <c r="B31" s="241"/>
      <c r="C31" s="241"/>
      <c r="D31" s="67" t="s">
        <v>54</v>
      </c>
      <c r="E31" s="68">
        <f>SUM(E18:E30)</f>
        <v>170349.5</v>
      </c>
      <c r="F31" s="69">
        <f aca="true" t="shared" si="5" ref="F31:T31">SUM(F18:F30)</f>
        <v>162429</v>
      </c>
      <c r="G31" s="69">
        <f t="shared" si="5"/>
        <v>159160.54</v>
      </c>
      <c r="H31" s="70">
        <f t="shared" si="5"/>
        <v>86999</v>
      </c>
      <c r="I31" s="71">
        <f t="shared" si="5"/>
        <v>578938.04</v>
      </c>
      <c r="J31" s="68">
        <f>SUM(J18:J30)</f>
        <v>132560.072</v>
      </c>
      <c r="K31" s="69">
        <f t="shared" si="5"/>
        <v>244572</v>
      </c>
      <c r="L31" s="69">
        <f t="shared" si="5"/>
        <v>108107</v>
      </c>
      <c r="M31" s="70">
        <f t="shared" si="5"/>
        <v>106874</v>
      </c>
      <c r="N31" s="71">
        <f t="shared" si="5"/>
        <v>592113.0719999999</v>
      </c>
      <c r="O31" s="68">
        <f t="shared" si="5"/>
        <v>172209.12</v>
      </c>
      <c r="P31" s="69">
        <f t="shared" si="5"/>
        <v>148198</v>
      </c>
      <c r="Q31" s="69">
        <f t="shared" si="5"/>
        <v>95295</v>
      </c>
      <c r="R31" s="70">
        <f t="shared" si="5"/>
        <v>82019</v>
      </c>
      <c r="S31" s="172">
        <f t="shared" si="5"/>
        <v>497721.12</v>
      </c>
      <c r="T31" s="169">
        <f t="shared" si="5"/>
        <v>1668772.2319999998</v>
      </c>
      <c r="U31" s="165">
        <f t="shared" si="4"/>
        <v>1</v>
      </c>
    </row>
    <row r="32" spans="1:21" s="79" customFormat="1" ht="39.75" customHeight="1">
      <c r="A32" s="74"/>
      <c r="B32" s="75"/>
      <c r="C32" s="75"/>
      <c r="D32" s="76"/>
      <c r="E32" s="154">
        <f>E31-E51</f>
        <v>0</v>
      </c>
      <c r="F32" s="154">
        <f aca="true" t="shared" si="6" ref="F32:R32">F31-F51</f>
        <v>0</v>
      </c>
      <c r="G32" s="154">
        <f t="shared" si="6"/>
        <v>0</v>
      </c>
      <c r="H32" s="154">
        <f t="shared" si="6"/>
        <v>0</v>
      </c>
      <c r="I32" s="154">
        <f t="shared" si="6"/>
        <v>0</v>
      </c>
      <c r="J32" s="154">
        <f t="shared" si="6"/>
        <v>0</v>
      </c>
      <c r="K32" s="154">
        <f t="shared" si="6"/>
        <v>0</v>
      </c>
      <c r="L32" s="154">
        <f t="shared" si="6"/>
        <v>0</v>
      </c>
      <c r="M32" s="154">
        <f t="shared" si="6"/>
        <v>0</v>
      </c>
      <c r="N32" s="154">
        <f t="shared" si="6"/>
        <v>0</v>
      </c>
      <c r="O32" s="154"/>
      <c r="P32" s="154">
        <f t="shared" si="6"/>
        <v>0</v>
      </c>
      <c r="Q32" s="154">
        <f t="shared" si="6"/>
        <v>0</v>
      </c>
      <c r="R32" s="154">
        <f t="shared" si="6"/>
        <v>0</v>
      </c>
      <c r="S32" s="154"/>
      <c r="T32" s="154"/>
      <c r="U32" s="78"/>
    </row>
    <row r="33" spans="1:47" s="1" customFormat="1" ht="11.25">
      <c r="A33" s="19" t="s">
        <v>55</v>
      </c>
      <c r="B33" s="20"/>
      <c r="C33" s="20"/>
      <c r="D33" s="19"/>
      <c r="E33" s="21"/>
      <c r="F33" s="21"/>
      <c r="G33" s="21"/>
      <c r="H33" s="21"/>
      <c r="I33" s="21"/>
      <c r="J33" s="21"/>
      <c r="K33" s="21"/>
      <c r="L33" s="21"/>
      <c r="M33" s="21"/>
      <c r="N33" s="21"/>
      <c r="O33" s="21"/>
      <c r="P33" s="21"/>
      <c r="Q33" s="21"/>
      <c r="R33" s="21"/>
      <c r="S33" s="21"/>
      <c r="T33" s="21"/>
      <c r="U33" s="21"/>
      <c r="AU33" s="18"/>
    </row>
    <row r="34" s="24" customFormat="1" ht="12" thickBot="1">
      <c r="U34" s="80"/>
    </row>
    <row r="35" spans="1:21" s="1" customFormat="1" ht="11.25">
      <c r="A35" s="225" t="s">
        <v>36</v>
      </c>
      <c r="B35" s="242" t="s">
        <v>56</v>
      </c>
      <c r="C35" s="227" t="s">
        <v>57</v>
      </c>
      <c r="D35" s="243" t="s">
        <v>58</v>
      </c>
      <c r="E35" s="231" t="str">
        <f>E16</f>
        <v>Year 3</v>
      </c>
      <c r="F35" s="208"/>
      <c r="G35" s="208"/>
      <c r="H35" s="208"/>
      <c r="I35" s="25" t="s">
        <v>38</v>
      </c>
      <c r="J35" s="208" t="str">
        <f>J16</f>
        <v>Year 4</v>
      </c>
      <c r="K35" s="208"/>
      <c r="L35" s="208"/>
      <c r="M35" s="208"/>
      <c r="N35" s="81" t="s">
        <v>38</v>
      </c>
      <c r="O35" s="245" t="str">
        <f>O16</f>
        <v>Year 5</v>
      </c>
      <c r="P35" s="246"/>
      <c r="Q35" s="246"/>
      <c r="R35" s="247"/>
      <c r="S35" s="248" t="str">
        <f>S16</f>
        <v>Year 5</v>
      </c>
      <c r="T35" s="25" t="str">
        <f>T16</f>
        <v>TOTAL</v>
      </c>
      <c r="U35" s="34"/>
    </row>
    <row r="36" spans="1:21" s="1" customFormat="1" ht="21" customHeight="1" thickBot="1">
      <c r="A36" s="226"/>
      <c r="B36" s="229"/>
      <c r="C36" s="229"/>
      <c r="D36" s="244"/>
      <c r="E36" s="27" t="str">
        <f>E17</f>
        <v>P9</v>
      </c>
      <c r="F36" s="27" t="str">
        <f>F17</f>
        <v>P10</v>
      </c>
      <c r="G36" s="27" t="str">
        <f>G17</f>
        <v>P11</v>
      </c>
      <c r="H36" s="28" t="str">
        <f>H17</f>
        <v>P12</v>
      </c>
      <c r="I36" s="29" t="str">
        <f>E35</f>
        <v>Year 3</v>
      </c>
      <c r="J36" s="27" t="str">
        <f>J17</f>
        <v>P13</v>
      </c>
      <c r="K36" s="27" t="str">
        <f>K17</f>
        <v>P14</v>
      </c>
      <c r="L36" s="27" t="str">
        <f>L17</f>
        <v>P15</v>
      </c>
      <c r="M36" s="28" t="str">
        <f>M17</f>
        <v>P16</v>
      </c>
      <c r="N36" s="82" t="str">
        <f>J35</f>
        <v>Year 4</v>
      </c>
      <c r="O36" s="83" t="str">
        <f>O17</f>
        <v>P17</v>
      </c>
      <c r="P36" s="84" t="str">
        <f>P17</f>
        <v>P18</v>
      </c>
      <c r="Q36" s="84" t="str">
        <f>Q17</f>
        <v>P19</v>
      </c>
      <c r="R36" s="85" t="str">
        <f>R17</f>
        <v>P20</v>
      </c>
      <c r="S36" s="249"/>
      <c r="T36" s="33" t="str">
        <f>T17</f>
        <v>Phase 2</v>
      </c>
      <c r="U36" s="34" t="str">
        <f>U17</f>
        <v>%</v>
      </c>
    </row>
    <row r="37" spans="1:42" s="92" customFormat="1" ht="34.5" thickBot="1">
      <c r="A37" s="86"/>
      <c r="B37" s="87" t="s">
        <v>59</v>
      </c>
      <c r="C37" s="88"/>
      <c r="D37" s="89" t="s">
        <v>0</v>
      </c>
      <c r="E37" s="181">
        <f>38285+2130-2130</f>
        <v>38285</v>
      </c>
      <c r="F37" s="181">
        <v>22355</v>
      </c>
      <c r="G37" s="181">
        <v>31580</v>
      </c>
      <c r="H37" s="181">
        <v>10945</v>
      </c>
      <c r="I37" s="178">
        <f>SUM(E37:H37)</f>
        <v>103165</v>
      </c>
      <c r="J37" s="185">
        <f>'[4]Year 4'!$G$16</f>
        <v>69692.072</v>
      </c>
      <c r="K37" s="155">
        <v>80382</v>
      </c>
      <c r="L37" s="155">
        <v>0</v>
      </c>
      <c r="M37" s="160">
        <v>0</v>
      </c>
      <c r="N37" s="166">
        <f>SUM(J37:M37)</f>
        <v>150074.072</v>
      </c>
      <c r="O37" s="175">
        <f>'[4]Year 5'!$G$9</f>
        <v>56255.12</v>
      </c>
      <c r="P37" s="155">
        <f>'[4]Year 5'!$H$9</f>
        <v>13914</v>
      </c>
      <c r="Q37" s="155">
        <v>0</v>
      </c>
      <c r="R37" s="157">
        <v>0</v>
      </c>
      <c r="S37" s="166">
        <f>SUM(O37:R37)</f>
        <v>70169.12</v>
      </c>
      <c r="T37" s="166">
        <f>I37+N37+S37</f>
        <v>323408.192</v>
      </c>
      <c r="U37" s="91">
        <f>IF(T37&gt;0,(T37/$T$31),"")</f>
        <v>0.19380007996202084</v>
      </c>
      <c r="AP37" s="93"/>
    </row>
    <row r="38" spans="1:42" s="92" customFormat="1" ht="45.75" thickBot="1">
      <c r="A38" s="94"/>
      <c r="B38" s="87" t="s">
        <v>59</v>
      </c>
      <c r="C38" s="95"/>
      <c r="D38" s="89" t="s">
        <v>60</v>
      </c>
      <c r="E38" s="181">
        <v>33740</v>
      </c>
      <c r="F38" s="181">
        <v>18580</v>
      </c>
      <c r="G38" s="181">
        <v>6960</v>
      </c>
      <c r="H38" s="181">
        <v>68800</v>
      </c>
      <c r="I38" s="179">
        <f>SUM(E38:H38)</f>
        <v>128080</v>
      </c>
      <c r="J38" s="176">
        <f>'[4]Year 4'!$G$21</f>
        <v>0</v>
      </c>
      <c r="K38" s="156">
        <f>'[4]Year 4'!$H$21</f>
        <v>71233</v>
      </c>
      <c r="L38" s="156">
        <v>0</v>
      </c>
      <c r="M38" s="161">
        <f>'[4]Year 4'!$J$21</f>
        <v>68800</v>
      </c>
      <c r="N38" s="173">
        <f aca="true" t="shared" si="7" ref="N38:N50">SUM(J38:M38)</f>
        <v>140033</v>
      </c>
      <c r="O38" s="176">
        <f>'[4]Year 5'!$G$14</f>
        <v>20000</v>
      </c>
      <c r="P38" s="156">
        <f>'[4]Year 5'!$H$14</f>
        <v>4255</v>
      </c>
      <c r="Q38" s="156">
        <f>'[4]Year 5'!$I$14</f>
        <v>0</v>
      </c>
      <c r="R38" s="158">
        <f>'[4]Year 5'!$J$14</f>
        <v>68800</v>
      </c>
      <c r="S38" s="173">
        <f aca="true" t="shared" si="8" ref="S38:S50">SUM(O38:R38)</f>
        <v>93055</v>
      </c>
      <c r="T38" s="166">
        <f aca="true" t="shared" si="9" ref="T38:T51">I38+N38+S38</f>
        <v>361168</v>
      </c>
      <c r="U38" s="97">
        <f aca="true" t="shared" si="10" ref="U38:U51">IF(T38&gt;0,(T38/$T$31),"")</f>
        <v>0.21642737880839813</v>
      </c>
      <c r="AP38" s="93"/>
    </row>
    <row r="39" spans="1:42" s="92" customFormat="1" ht="45.75" thickBot="1">
      <c r="A39" s="98"/>
      <c r="B39" s="87" t="s">
        <v>61</v>
      </c>
      <c r="C39" s="99"/>
      <c r="D39" s="89" t="s">
        <v>1</v>
      </c>
      <c r="E39" s="181">
        <v>8610</v>
      </c>
      <c r="F39" s="181">
        <v>5675</v>
      </c>
      <c r="G39" s="181">
        <v>0</v>
      </c>
      <c r="H39" s="181">
        <v>0</v>
      </c>
      <c r="I39" s="179">
        <f>SUM(E39:H39)</f>
        <v>14285</v>
      </c>
      <c r="J39" s="185">
        <f>'[4]Year 4'!$G$27</f>
        <v>7840</v>
      </c>
      <c r="K39" s="156">
        <f>'[4]Year 4'!$H$27</f>
        <v>9790</v>
      </c>
      <c r="L39" s="156">
        <f>'[4]Year 4'!$I$27</f>
        <v>6340</v>
      </c>
      <c r="M39" s="161">
        <f>'[4]Year 4'!$J$27</f>
        <v>0</v>
      </c>
      <c r="N39" s="173">
        <f>SUM(J39:M39)</f>
        <v>23970</v>
      </c>
      <c r="O39" s="176">
        <f>'[4]Year 5'!$G$20</f>
        <v>7840</v>
      </c>
      <c r="P39" s="156">
        <f>'[4]Year 5'!$H$20</f>
        <v>5290</v>
      </c>
      <c r="Q39" s="156">
        <f>'[4]Year 5'!$I$20</f>
        <v>11340</v>
      </c>
      <c r="R39" s="158">
        <v>0</v>
      </c>
      <c r="S39" s="173">
        <f>SUM(O39:R39)</f>
        <v>24470</v>
      </c>
      <c r="T39" s="166">
        <f t="shared" si="9"/>
        <v>62725</v>
      </c>
      <c r="U39" s="97">
        <f t="shared" si="10"/>
        <v>0.037587514219855504</v>
      </c>
      <c r="AP39" s="93"/>
    </row>
    <row r="40" spans="1:42" s="92" customFormat="1" ht="23.25" thickBot="1">
      <c r="A40" s="98"/>
      <c r="B40" s="87" t="s">
        <v>62</v>
      </c>
      <c r="C40" s="99"/>
      <c r="D40" s="89" t="s">
        <v>2</v>
      </c>
      <c r="E40" s="181">
        <v>474</v>
      </c>
      <c r="F40" s="181">
        <v>474</v>
      </c>
      <c r="G40" s="181">
        <v>15934</v>
      </c>
      <c r="H40" s="181">
        <v>474</v>
      </c>
      <c r="I40" s="179">
        <f>SUM(E40:H40)</f>
        <v>17356</v>
      </c>
      <c r="J40" s="176">
        <f>'[4]Year 4'!$G$31</f>
        <v>474</v>
      </c>
      <c r="K40" s="156">
        <f>'[4]Year 4'!$H$31</f>
        <v>7863</v>
      </c>
      <c r="L40" s="156">
        <f>'[4]Year 4'!$I$31</f>
        <v>7863</v>
      </c>
      <c r="M40" s="161">
        <f>'[4]Year 4'!$J$31</f>
        <v>474</v>
      </c>
      <c r="N40" s="173">
        <f t="shared" si="7"/>
        <v>16674</v>
      </c>
      <c r="O40" s="176">
        <f>'[4]Year 5'!$G$24</f>
        <v>474</v>
      </c>
      <c r="P40" s="156">
        <f>'[4]Year 5'!$H$24</f>
        <v>7974</v>
      </c>
      <c r="Q40" s="156">
        <f>'[4]Year 5'!$I$24</f>
        <v>7974</v>
      </c>
      <c r="R40" s="158">
        <f>'[4]Year 5'!$J$24</f>
        <v>474</v>
      </c>
      <c r="S40" s="173">
        <f t="shared" si="8"/>
        <v>16896</v>
      </c>
      <c r="T40" s="166">
        <f t="shared" si="9"/>
        <v>50926</v>
      </c>
      <c r="U40" s="97">
        <f t="shared" si="10"/>
        <v>0.030517046618738324</v>
      </c>
      <c r="AP40" s="93"/>
    </row>
    <row r="41" spans="1:42" s="92" customFormat="1" ht="34.5" thickBot="1">
      <c r="A41" s="98"/>
      <c r="B41" s="87" t="s">
        <v>59</v>
      </c>
      <c r="C41" s="99"/>
      <c r="D41" s="89" t="s">
        <v>3</v>
      </c>
      <c r="E41" s="181">
        <v>15337.5</v>
      </c>
      <c r="F41" s="181">
        <v>10130</v>
      </c>
      <c r="G41" s="181">
        <v>11117.5</v>
      </c>
      <c r="H41" s="181">
        <v>0</v>
      </c>
      <c r="I41" s="179">
        <f>SUM(E41:H41)</f>
        <v>36585</v>
      </c>
      <c r="J41" s="176">
        <f>'[4]Year 4'!$G$36</f>
        <v>7905</v>
      </c>
      <c r="K41" s="156">
        <f>'[4]Year 4'!$H$36</f>
        <v>14585</v>
      </c>
      <c r="L41" s="156">
        <f>'[4]Year 4'!$I$36</f>
        <v>6170</v>
      </c>
      <c r="M41" s="161">
        <f>'[4]Year 4'!$J$36</f>
        <v>3085</v>
      </c>
      <c r="N41" s="173">
        <f>SUM(J41:M41)</f>
        <v>31745</v>
      </c>
      <c r="O41" s="176">
        <f>'[4]Year 5'!$G$30</f>
        <v>23085</v>
      </c>
      <c r="P41" s="156">
        <f>'[4]Year 5'!$H$30</f>
        <v>12085</v>
      </c>
      <c r="Q41" s="156">
        <f>'[4]Year 5'!$I$30</f>
        <v>3085</v>
      </c>
      <c r="R41" s="158">
        <f>'[4]Year 5'!$J$30</f>
        <v>3085</v>
      </c>
      <c r="S41" s="173">
        <f>SUM(O41:R41)</f>
        <v>41340</v>
      </c>
      <c r="T41" s="166">
        <f>I41+N41+S41</f>
        <v>109670</v>
      </c>
      <c r="U41" s="97">
        <f t="shared" si="10"/>
        <v>0.0657189746431495</v>
      </c>
      <c r="AP41" s="93"/>
    </row>
    <row r="42" spans="1:42" s="92" customFormat="1" ht="34.5" thickBot="1">
      <c r="A42" s="98"/>
      <c r="B42" s="87" t="s">
        <v>59</v>
      </c>
      <c r="C42" s="99"/>
      <c r="D42" s="89" t="s">
        <v>4</v>
      </c>
      <c r="E42" s="181">
        <v>2669</v>
      </c>
      <c r="F42" s="181">
        <v>9235</v>
      </c>
      <c r="G42" s="181">
        <v>10900</v>
      </c>
      <c r="H42" s="181">
        <v>1860</v>
      </c>
      <c r="I42" s="179">
        <f aca="true" t="shared" si="11" ref="I42:I48">SUM(E42:H42)</f>
        <v>24664</v>
      </c>
      <c r="J42" s="176">
        <f>'[4]Year 4'!$G$41</f>
        <v>1000</v>
      </c>
      <c r="K42" s="156">
        <f>'[4]Year 4'!$H$41</f>
        <v>6160</v>
      </c>
      <c r="L42" s="156">
        <f>'[4]Year 4'!$I$41</f>
        <v>2325</v>
      </c>
      <c r="M42" s="161">
        <v>0</v>
      </c>
      <c r="N42" s="173">
        <f t="shared" si="7"/>
        <v>9485</v>
      </c>
      <c r="O42" s="176">
        <f>'[4]Year 5'!$G$35</f>
        <v>1000</v>
      </c>
      <c r="P42" s="156">
        <f>'[4]Year 5'!$H$35</f>
        <v>4440</v>
      </c>
      <c r="Q42" s="156">
        <f>'[4]Year 5'!$I$35</f>
        <v>2325</v>
      </c>
      <c r="R42" s="158">
        <f>'[4]Year 5'!$J$35</f>
        <v>0</v>
      </c>
      <c r="S42" s="173">
        <f>SUM(O42:R42)</f>
        <v>7765</v>
      </c>
      <c r="T42" s="166">
        <f t="shared" si="9"/>
        <v>41914</v>
      </c>
      <c r="U42" s="97">
        <f t="shared" si="10"/>
        <v>0.025116669127318032</v>
      </c>
      <c r="AP42" s="93"/>
    </row>
    <row r="43" spans="1:42" s="92" customFormat="1" ht="34.5" thickBot="1">
      <c r="A43" s="98"/>
      <c r="B43" s="87" t="s">
        <v>62</v>
      </c>
      <c r="C43" s="99"/>
      <c r="D43" s="89" t="s">
        <v>5</v>
      </c>
      <c r="E43" s="181">
        <v>10000</v>
      </c>
      <c r="F43" s="181">
        <v>6000</v>
      </c>
      <c r="G43" s="181">
        <v>0</v>
      </c>
      <c r="H43" s="182">
        <v>0</v>
      </c>
      <c r="I43" s="179">
        <f>SUM(E43:H43)</f>
        <v>16000</v>
      </c>
      <c r="J43" s="176">
        <f>'[4]Year 4'!$G$44</f>
        <v>0</v>
      </c>
      <c r="K43" s="156">
        <f>'[4]Year 4'!$H$44</f>
        <v>22500</v>
      </c>
      <c r="L43" s="156">
        <v>0</v>
      </c>
      <c r="M43" s="161">
        <v>0</v>
      </c>
      <c r="N43" s="173">
        <f>SUM(J43:M43)</f>
        <v>22500</v>
      </c>
      <c r="O43" s="176">
        <v>24000</v>
      </c>
      <c r="P43" s="156">
        <v>45000</v>
      </c>
      <c r="Q43" s="156">
        <v>0</v>
      </c>
      <c r="R43" s="158">
        <v>0</v>
      </c>
      <c r="S43" s="173">
        <f>SUM(O43:R43)</f>
        <v>69000</v>
      </c>
      <c r="T43" s="166">
        <f t="shared" si="9"/>
        <v>107500</v>
      </c>
      <c r="U43" s="97">
        <f t="shared" si="10"/>
        <v>0.06441861743538409</v>
      </c>
      <c r="AP43" s="93"/>
    </row>
    <row r="44" spans="1:42" s="92" customFormat="1" ht="57" thickBot="1">
      <c r="A44" s="98"/>
      <c r="B44" s="87" t="s">
        <v>59</v>
      </c>
      <c r="C44" s="99"/>
      <c r="D44" s="89" t="s">
        <v>6</v>
      </c>
      <c r="E44" s="183">
        <v>4981</v>
      </c>
      <c r="F44" s="183">
        <v>14749</v>
      </c>
      <c r="G44" s="183">
        <v>22749</v>
      </c>
      <c r="H44" s="183">
        <v>999</v>
      </c>
      <c r="I44" s="179">
        <f t="shared" si="11"/>
        <v>43478</v>
      </c>
      <c r="J44" s="176">
        <v>31879</v>
      </c>
      <c r="K44" s="156">
        <v>10999</v>
      </c>
      <c r="L44" s="156">
        <v>54960</v>
      </c>
      <c r="M44" s="161">
        <v>18165</v>
      </c>
      <c r="N44" s="173">
        <f>SUM(J44:M44)</f>
        <v>116003</v>
      </c>
      <c r="O44" s="176">
        <f>'[4]Year 5'!$G$46</f>
        <v>20685</v>
      </c>
      <c r="P44" s="156">
        <f>'[4]Year 5'!$H$46</f>
        <v>13200</v>
      </c>
      <c r="Q44" s="156">
        <f>'[4]Year 5'!$I$46</f>
        <v>39290</v>
      </c>
      <c r="R44" s="158">
        <f>'[4]Year 5'!$J$46</f>
        <v>1200</v>
      </c>
      <c r="S44" s="173">
        <f>SUM(O44:R44)</f>
        <v>74375</v>
      </c>
      <c r="T44" s="166">
        <f>I44+N44+S44</f>
        <v>233856</v>
      </c>
      <c r="U44" s="97">
        <f t="shared" si="10"/>
        <v>0.14013655999041097</v>
      </c>
      <c r="AP44" s="93"/>
    </row>
    <row r="45" spans="1:42" s="92" customFormat="1" ht="19.5" customHeight="1" thickBot="1">
      <c r="A45" s="98"/>
      <c r="B45" s="87" t="s">
        <v>59</v>
      </c>
      <c r="C45" s="99"/>
      <c r="D45" s="89" t="s">
        <v>7</v>
      </c>
      <c r="E45" s="184">
        <v>1772</v>
      </c>
      <c r="F45" s="184">
        <v>13680</v>
      </c>
      <c r="G45" s="184">
        <v>0</v>
      </c>
      <c r="H45" s="184">
        <v>450</v>
      </c>
      <c r="I45" s="179">
        <f t="shared" si="11"/>
        <v>15902</v>
      </c>
      <c r="J45" s="176">
        <v>0</v>
      </c>
      <c r="K45" s="156">
        <v>0</v>
      </c>
      <c r="L45" s="156">
        <v>0</v>
      </c>
      <c r="M45" s="161">
        <v>0</v>
      </c>
      <c r="N45" s="173">
        <f t="shared" si="7"/>
        <v>0</v>
      </c>
      <c r="O45" s="176">
        <v>0</v>
      </c>
      <c r="P45" s="156">
        <v>0</v>
      </c>
      <c r="Q45" s="156">
        <v>0</v>
      </c>
      <c r="R45" s="158">
        <v>0</v>
      </c>
      <c r="S45" s="173">
        <f t="shared" si="8"/>
        <v>0</v>
      </c>
      <c r="T45" s="166">
        <f>I45+N45+S45</f>
        <v>15902</v>
      </c>
      <c r="U45" s="97">
        <f>IF(T45&gt;0,(T45/$T$31),"")</f>
        <v>0.009529161436813746</v>
      </c>
      <c r="AP45" s="93"/>
    </row>
    <row r="46" spans="1:42" s="92" customFormat="1" ht="45.75" thickBot="1">
      <c r="A46" s="98"/>
      <c r="B46" s="87" t="s">
        <v>63</v>
      </c>
      <c r="C46" s="99"/>
      <c r="D46" s="89" t="s">
        <v>8</v>
      </c>
      <c r="E46" s="181">
        <v>6700</v>
      </c>
      <c r="F46" s="184">
        <v>13500</v>
      </c>
      <c r="G46" s="184">
        <v>0</v>
      </c>
      <c r="H46" s="184">
        <v>0</v>
      </c>
      <c r="I46" s="180">
        <f t="shared" si="11"/>
        <v>20200</v>
      </c>
      <c r="J46" s="176">
        <v>0</v>
      </c>
      <c r="K46" s="156">
        <v>0</v>
      </c>
      <c r="L46" s="156">
        <v>0</v>
      </c>
      <c r="M46" s="161">
        <v>0</v>
      </c>
      <c r="N46" s="173">
        <f t="shared" si="7"/>
        <v>0</v>
      </c>
      <c r="O46" s="176">
        <v>0</v>
      </c>
      <c r="P46" s="156">
        <v>0</v>
      </c>
      <c r="Q46" s="156">
        <v>0</v>
      </c>
      <c r="R46" s="158">
        <v>0</v>
      </c>
      <c r="S46" s="173">
        <f t="shared" si="8"/>
        <v>0</v>
      </c>
      <c r="T46" s="166">
        <f>I46+N46+S46</f>
        <v>20200</v>
      </c>
      <c r="U46" s="97">
        <f t="shared" si="10"/>
        <v>0.012104707648323335</v>
      </c>
      <c r="AP46" s="93"/>
    </row>
    <row r="47" spans="1:42" s="92" customFormat="1" ht="34.5" thickBot="1">
      <c r="A47" s="98"/>
      <c r="B47" s="87" t="s">
        <v>62</v>
      </c>
      <c r="C47" s="99"/>
      <c r="D47" s="89" t="s">
        <v>9</v>
      </c>
      <c r="E47" s="181">
        <v>36571</v>
      </c>
      <c r="F47" s="181">
        <v>33051</v>
      </c>
      <c r="G47" s="181">
        <v>11571</v>
      </c>
      <c r="H47" s="181">
        <v>3471</v>
      </c>
      <c r="I47" s="180">
        <f t="shared" si="11"/>
        <v>84664</v>
      </c>
      <c r="J47" s="176">
        <v>13770</v>
      </c>
      <c r="K47" s="156">
        <v>13410</v>
      </c>
      <c r="L47" s="156">
        <v>13770</v>
      </c>
      <c r="M47" s="161">
        <v>8460</v>
      </c>
      <c r="N47" s="173">
        <f t="shared" si="7"/>
        <v>49410</v>
      </c>
      <c r="O47" s="176">
        <f>'[4]Year 5'!$G$51</f>
        <v>13770</v>
      </c>
      <c r="P47" s="156">
        <f>'[4]Year 5'!$H$51</f>
        <v>8460</v>
      </c>
      <c r="Q47" s="156">
        <f>'[4]Year 5'!$I$51</f>
        <v>13770</v>
      </c>
      <c r="R47" s="158">
        <f>'[4]Year 5'!$J$51</f>
        <v>8460</v>
      </c>
      <c r="S47" s="173">
        <f t="shared" si="8"/>
        <v>44460</v>
      </c>
      <c r="T47" s="166">
        <f t="shared" si="9"/>
        <v>178534</v>
      </c>
      <c r="U47" s="97">
        <f>IF(T47&gt;0,(T47/$T$31),"")</f>
        <v>0.10698524135078011</v>
      </c>
      <c r="AP47" s="93"/>
    </row>
    <row r="48" spans="1:42" s="92" customFormat="1" ht="34.5" thickBot="1">
      <c r="A48" s="98"/>
      <c r="B48" s="87" t="s">
        <v>62</v>
      </c>
      <c r="C48" s="99"/>
      <c r="D48" s="89" t="s">
        <v>10</v>
      </c>
      <c r="E48" s="181">
        <v>11210</v>
      </c>
      <c r="F48" s="181">
        <v>15000</v>
      </c>
      <c r="G48" s="181">
        <v>0</v>
      </c>
      <c r="H48" s="181">
        <v>0</v>
      </c>
      <c r="I48" s="180">
        <f t="shared" si="11"/>
        <v>26210</v>
      </c>
      <c r="J48" s="176">
        <v>0</v>
      </c>
      <c r="K48" s="156">
        <v>0</v>
      </c>
      <c r="L48" s="156">
        <v>0</v>
      </c>
      <c r="M48" s="161">
        <v>0</v>
      </c>
      <c r="N48" s="173">
        <f t="shared" si="7"/>
        <v>0</v>
      </c>
      <c r="O48" s="176">
        <f>'[4]Year 5'!$G$55</f>
        <v>5100</v>
      </c>
      <c r="P48" s="156">
        <f>'[4]Year 5'!$H$55</f>
        <v>18490</v>
      </c>
      <c r="Q48" s="156">
        <v>0</v>
      </c>
      <c r="R48" s="158">
        <v>0</v>
      </c>
      <c r="S48" s="173">
        <f t="shared" si="8"/>
        <v>23590</v>
      </c>
      <c r="T48" s="166">
        <f t="shared" si="9"/>
        <v>49800</v>
      </c>
      <c r="U48" s="97">
        <f t="shared" si="10"/>
        <v>0.02984229905378723</v>
      </c>
      <c r="AP48" s="93"/>
    </row>
    <row r="49" spans="1:42" s="92" customFormat="1" ht="45.75" thickBot="1">
      <c r="A49" s="98"/>
      <c r="B49" s="87" t="s">
        <v>64</v>
      </c>
      <c r="C49" s="99"/>
      <c r="D49" s="89" t="s">
        <v>11</v>
      </c>
      <c r="E49" s="181">
        <v>0</v>
      </c>
      <c r="F49" s="182">
        <v>0</v>
      </c>
      <c r="G49" s="185">
        <v>7930</v>
      </c>
      <c r="H49" s="181">
        <v>0</v>
      </c>
      <c r="I49" s="180">
        <f>H49+G49+F49+E49</f>
        <v>7930</v>
      </c>
      <c r="J49" s="176"/>
      <c r="K49" s="150">
        <v>7650</v>
      </c>
      <c r="L49" s="150"/>
      <c r="M49" s="151">
        <v>7890</v>
      </c>
      <c r="N49" s="173">
        <f t="shared" si="7"/>
        <v>15540</v>
      </c>
      <c r="O49" s="177"/>
      <c r="P49" s="150">
        <v>15090</v>
      </c>
      <c r="Q49" s="150"/>
      <c r="R49" s="159"/>
      <c r="S49" s="174">
        <f t="shared" si="8"/>
        <v>15090</v>
      </c>
      <c r="T49" s="166">
        <f>I49+N49+S49</f>
        <v>38560</v>
      </c>
      <c r="U49" s="97">
        <f>IF(T49&gt;0,(T49/$T$31),"")</f>
        <v>0.02310680826333405</v>
      </c>
      <c r="AP49" s="93"/>
    </row>
    <row r="50" spans="1:42" s="92" customFormat="1" ht="12" thickBot="1">
      <c r="A50" s="98"/>
      <c r="B50" s="87" t="s">
        <v>65</v>
      </c>
      <c r="C50" s="99"/>
      <c r="D50" s="89" t="s">
        <v>12</v>
      </c>
      <c r="E50" s="181">
        <v>0</v>
      </c>
      <c r="F50" s="182">
        <v>0</v>
      </c>
      <c r="G50" s="185">
        <v>40419.04</v>
      </c>
      <c r="H50" s="182">
        <v>0</v>
      </c>
      <c r="I50" s="180">
        <f>G50</f>
        <v>40419.04</v>
      </c>
      <c r="J50" s="177">
        <v>0</v>
      </c>
      <c r="K50" s="150">
        <v>0</v>
      </c>
      <c r="L50" s="150">
        <f>'[4]Year 4'!$I$64</f>
        <v>16679</v>
      </c>
      <c r="M50" s="151">
        <v>0</v>
      </c>
      <c r="N50" s="173">
        <f t="shared" si="7"/>
        <v>16679</v>
      </c>
      <c r="O50" s="177"/>
      <c r="P50" s="150"/>
      <c r="Q50" s="150">
        <f>'[4]Year 5'!$I$61</f>
        <v>17511</v>
      </c>
      <c r="R50" s="159"/>
      <c r="S50" s="174">
        <f t="shared" si="8"/>
        <v>17511</v>
      </c>
      <c r="T50" s="166">
        <f>I50+N50+S50</f>
        <v>74609.04000000001</v>
      </c>
      <c r="U50" s="97">
        <f t="shared" si="10"/>
        <v>0.044708941441686224</v>
      </c>
      <c r="AP50" s="93"/>
    </row>
    <row r="51" spans="1:42" s="73" customFormat="1" ht="21" customHeight="1" thickBot="1">
      <c r="A51" s="250" t="s">
        <v>54</v>
      </c>
      <c r="B51" s="251"/>
      <c r="C51" s="251"/>
      <c r="D51" s="251"/>
      <c r="E51" s="186">
        <f aca="true" t="shared" si="12" ref="E51:R51">SUM(E34:E50)</f>
        <v>170349.5</v>
      </c>
      <c r="F51" s="187">
        <f t="shared" si="12"/>
        <v>162429</v>
      </c>
      <c r="G51" s="187">
        <f t="shared" si="12"/>
        <v>159160.54</v>
      </c>
      <c r="H51" s="188">
        <f t="shared" si="12"/>
        <v>86999</v>
      </c>
      <c r="I51" s="172">
        <f t="shared" si="12"/>
        <v>578938.04</v>
      </c>
      <c r="J51" s="169">
        <f>SUM(J34:J50)</f>
        <v>132560.072</v>
      </c>
      <c r="K51" s="152">
        <f>SUM(K34:K50)</f>
        <v>244572</v>
      </c>
      <c r="L51" s="152">
        <f>SUM(L34:L50)</f>
        <v>108107</v>
      </c>
      <c r="M51" s="153">
        <f>SUM(M34:M50)</f>
        <v>106874</v>
      </c>
      <c r="N51" s="172">
        <f>SUM(N34:N50)</f>
        <v>592113.0719999999</v>
      </c>
      <c r="O51" s="169">
        <f t="shared" si="12"/>
        <v>172209.12</v>
      </c>
      <c r="P51" s="152">
        <f t="shared" si="12"/>
        <v>148198</v>
      </c>
      <c r="Q51" s="152">
        <f t="shared" si="12"/>
        <v>95295</v>
      </c>
      <c r="R51" s="153">
        <f t="shared" si="12"/>
        <v>82019</v>
      </c>
      <c r="S51" s="172">
        <f>SUM(S34:S50)</f>
        <v>497721.12</v>
      </c>
      <c r="T51" s="189">
        <f t="shared" si="9"/>
        <v>1668772.2319999998</v>
      </c>
      <c r="U51" s="72">
        <f t="shared" si="10"/>
        <v>1</v>
      </c>
      <c r="AP51" s="100"/>
    </row>
    <row r="52" spans="1:42" s="79" customFormat="1" ht="11.25">
      <c r="A52" s="252" t="s">
        <v>66</v>
      </c>
      <c r="B52" s="253"/>
      <c r="C52" s="253"/>
      <c r="D52" s="254"/>
      <c r="E52" s="77"/>
      <c r="F52" s="77"/>
      <c r="G52" s="77"/>
      <c r="H52" s="77"/>
      <c r="I52" s="77"/>
      <c r="J52" s="77"/>
      <c r="K52" s="77"/>
      <c r="L52" s="77"/>
      <c r="M52" s="77"/>
      <c r="N52" s="77"/>
      <c r="O52" s="77"/>
      <c r="P52" s="77"/>
      <c r="Q52" s="77"/>
      <c r="R52" s="77"/>
      <c r="S52" s="77"/>
      <c r="T52" s="77"/>
      <c r="U52" s="78"/>
      <c r="AP52" s="15"/>
    </row>
    <row r="53" spans="1:42" s="79" customFormat="1" ht="11.25">
      <c r="A53" s="255"/>
      <c r="B53" s="256"/>
      <c r="C53" s="256"/>
      <c r="D53" s="257"/>
      <c r="AP53" s="15"/>
    </row>
    <row r="54" spans="1:42" s="79" customFormat="1" ht="11.25">
      <c r="A54" s="258"/>
      <c r="B54" s="259"/>
      <c r="C54" s="259"/>
      <c r="D54" s="260"/>
      <c r="AP54" s="15"/>
    </row>
    <row r="55" spans="1:4" s="79" customFormat="1" ht="11.25">
      <c r="A55" s="101" t="s">
        <v>67</v>
      </c>
      <c r="B55" s="102"/>
      <c r="C55" s="102"/>
      <c r="D55" s="102"/>
    </row>
    <row r="56" spans="1:4" s="79" customFormat="1" ht="11.25">
      <c r="A56" s="103"/>
      <c r="B56" s="102"/>
      <c r="C56" s="102"/>
      <c r="D56" s="102"/>
    </row>
    <row r="57" spans="1:47" s="1" customFormat="1" ht="11.25">
      <c r="A57" s="19" t="s">
        <v>68</v>
      </c>
      <c r="B57" s="20"/>
      <c r="C57" s="20"/>
      <c r="D57" s="19"/>
      <c r="E57" s="21"/>
      <c r="F57" s="21"/>
      <c r="G57" s="21"/>
      <c r="H57" s="21"/>
      <c r="I57" s="21"/>
      <c r="J57" s="21"/>
      <c r="K57" s="21"/>
      <c r="L57" s="21"/>
      <c r="M57" s="21"/>
      <c r="N57" s="21"/>
      <c r="O57" s="21"/>
      <c r="P57" s="21"/>
      <c r="Q57" s="21"/>
      <c r="R57" s="21"/>
      <c r="S57" s="21"/>
      <c r="T57" s="21"/>
      <c r="U57" s="21"/>
      <c r="AU57" s="18"/>
    </row>
    <row r="58" s="24" customFormat="1" ht="12" thickBot="1">
      <c r="U58" s="104"/>
    </row>
    <row r="59" spans="1:21" s="1" customFormat="1" ht="11.25">
      <c r="A59" s="225" t="s">
        <v>36</v>
      </c>
      <c r="B59" s="242" t="s">
        <v>69</v>
      </c>
      <c r="C59" s="242" t="s">
        <v>70</v>
      </c>
      <c r="D59" s="243" t="s">
        <v>71</v>
      </c>
      <c r="E59" s="208" t="str">
        <f>E35</f>
        <v>Year 3</v>
      </c>
      <c r="F59" s="208"/>
      <c r="G59" s="208"/>
      <c r="H59" s="208"/>
      <c r="I59" s="25" t="s">
        <v>38</v>
      </c>
      <c r="J59" s="208" t="str">
        <f>J35</f>
        <v>Year 4</v>
      </c>
      <c r="K59" s="208"/>
      <c r="L59" s="208"/>
      <c r="M59" s="208"/>
      <c r="N59" s="81" t="s">
        <v>38</v>
      </c>
      <c r="O59" s="245" t="str">
        <f>O35</f>
        <v>Year 5</v>
      </c>
      <c r="P59" s="246"/>
      <c r="Q59" s="246"/>
      <c r="R59" s="247"/>
      <c r="S59" s="248" t="str">
        <f>S35</f>
        <v>Year 5</v>
      </c>
      <c r="T59" s="25" t="str">
        <f>T35</f>
        <v>TOTAL</v>
      </c>
      <c r="U59" s="26"/>
    </row>
    <row r="60" spans="1:21" s="1" customFormat="1" ht="21" customHeight="1" thickBot="1">
      <c r="A60" s="226"/>
      <c r="B60" s="267"/>
      <c r="C60" s="267"/>
      <c r="D60" s="244"/>
      <c r="E60" s="27" t="str">
        <f>E36</f>
        <v>P9</v>
      </c>
      <c r="F60" s="27" t="str">
        <f>F36</f>
        <v>P10</v>
      </c>
      <c r="G60" s="27" t="str">
        <f>G36</f>
        <v>P11</v>
      </c>
      <c r="H60" s="28" t="str">
        <f>H36</f>
        <v>P12</v>
      </c>
      <c r="I60" s="29" t="str">
        <f>E59</f>
        <v>Year 3</v>
      </c>
      <c r="J60" s="27" t="str">
        <f>J36</f>
        <v>P13</v>
      </c>
      <c r="K60" s="27" t="str">
        <f>K36</f>
        <v>P14</v>
      </c>
      <c r="L60" s="27" t="str">
        <f>L36</f>
        <v>P15</v>
      </c>
      <c r="M60" s="28" t="str">
        <f>M36</f>
        <v>P16</v>
      </c>
      <c r="N60" s="82" t="str">
        <f>J59</f>
        <v>Year 4</v>
      </c>
      <c r="O60" s="83" t="str">
        <f>O36</f>
        <v>P17</v>
      </c>
      <c r="P60" s="84" t="str">
        <f>P36</f>
        <v>P18</v>
      </c>
      <c r="Q60" s="84" t="str">
        <f>Q36</f>
        <v>P19</v>
      </c>
      <c r="R60" s="85" t="str">
        <f>R36</f>
        <v>P20</v>
      </c>
      <c r="S60" s="249"/>
      <c r="T60" s="33" t="str">
        <f>T36</f>
        <v>Phase 2</v>
      </c>
      <c r="U60" s="34" t="str">
        <f>U36</f>
        <v>%</v>
      </c>
    </row>
    <row r="61" spans="1:21" s="110" customFormat="1" ht="11.25">
      <c r="A61" s="105">
        <v>1</v>
      </c>
      <c r="B61" s="106" t="s">
        <v>72</v>
      </c>
      <c r="C61" s="106" t="s">
        <v>73</v>
      </c>
      <c r="D61" s="107" t="s">
        <v>74</v>
      </c>
      <c r="E61" s="108">
        <f>E37</f>
        <v>38285</v>
      </c>
      <c r="F61" s="108">
        <v>22355</v>
      </c>
      <c r="G61" s="108">
        <v>31580</v>
      </c>
      <c r="H61" s="108">
        <v>10945</v>
      </c>
      <c r="I61" s="96">
        <f aca="true" t="shared" si="13" ref="I61:I68">SUM(E61:H61)</f>
        <v>103165</v>
      </c>
      <c r="J61" s="40">
        <v>69692.072</v>
      </c>
      <c r="K61" s="41">
        <f>75432+4950</f>
        <v>80382</v>
      </c>
      <c r="L61" s="41">
        <v>0</v>
      </c>
      <c r="M61" s="42">
        <v>0</v>
      </c>
      <c r="N61" s="90">
        <f aca="true" t="shared" si="14" ref="N61:N68">SUM(J61:M61)</f>
        <v>150074.072</v>
      </c>
      <c r="O61" s="40">
        <v>56255.12</v>
      </c>
      <c r="P61" s="41">
        <v>13914</v>
      </c>
      <c r="Q61" s="41">
        <v>0</v>
      </c>
      <c r="R61" s="42">
        <v>0</v>
      </c>
      <c r="S61" s="90">
        <f aca="true" t="shared" si="15" ref="S61:S68">SUM(O61:R61)</f>
        <v>70169.12</v>
      </c>
      <c r="T61" s="109">
        <f aca="true" t="shared" si="16" ref="T61:T68">N61+I61+S61</f>
        <v>323408.192</v>
      </c>
      <c r="U61" s="91">
        <f aca="true" t="shared" si="17" ref="U61:U68">IF(T61&gt;0,(T61/$T$51),"")</f>
        <v>0.19380007996202084</v>
      </c>
    </row>
    <row r="62" spans="1:42" s="110" customFormat="1" ht="22.5">
      <c r="A62" s="111">
        <v>2</v>
      </c>
      <c r="B62" s="112" t="s">
        <v>72</v>
      </c>
      <c r="C62" s="112" t="s">
        <v>75</v>
      </c>
      <c r="D62" s="113" t="s">
        <v>74</v>
      </c>
      <c r="E62" s="108">
        <f>33740-2250</f>
        <v>31490</v>
      </c>
      <c r="F62" s="108">
        <v>18580</v>
      </c>
      <c r="G62" s="108">
        <v>0</v>
      </c>
      <c r="H62" s="108">
        <v>68800</v>
      </c>
      <c r="I62" s="96">
        <f t="shared" si="13"/>
        <v>118870</v>
      </c>
      <c r="J62" s="50">
        <v>0</v>
      </c>
      <c r="K62" s="51">
        <v>66978</v>
      </c>
      <c r="L62" s="51">
        <v>0</v>
      </c>
      <c r="M62" s="52">
        <v>68800</v>
      </c>
      <c r="N62" s="114">
        <f t="shared" si="14"/>
        <v>135778</v>
      </c>
      <c r="O62" s="50">
        <v>20000</v>
      </c>
      <c r="P62" s="51"/>
      <c r="Q62" s="51"/>
      <c r="R62" s="52">
        <v>68800</v>
      </c>
      <c r="S62" s="114">
        <f t="shared" si="15"/>
        <v>88800</v>
      </c>
      <c r="T62" s="115">
        <f t="shared" si="16"/>
        <v>343448</v>
      </c>
      <c r="U62" s="97">
        <f t="shared" si="17"/>
        <v>0.20580879368323526</v>
      </c>
      <c r="AP62" s="116"/>
    </row>
    <row r="63" spans="1:42" s="110" customFormat="1" ht="16.5" customHeight="1">
      <c r="A63" s="111">
        <v>3</v>
      </c>
      <c r="B63" s="112" t="s">
        <v>72</v>
      </c>
      <c r="C63" s="112" t="s">
        <v>76</v>
      </c>
      <c r="D63" s="113" t="s">
        <v>74</v>
      </c>
      <c r="E63" s="108">
        <v>2250</v>
      </c>
      <c r="F63" s="108"/>
      <c r="G63" s="108">
        <v>6960</v>
      </c>
      <c r="H63" s="108">
        <v>0</v>
      </c>
      <c r="I63" s="96">
        <f t="shared" si="13"/>
        <v>9210</v>
      </c>
      <c r="J63" s="50"/>
      <c r="K63" s="51">
        <v>4255</v>
      </c>
      <c r="L63" s="51"/>
      <c r="M63" s="52"/>
      <c r="N63" s="114">
        <f>SUM(J63:M63)</f>
        <v>4255</v>
      </c>
      <c r="O63" s="50"/>
      <c r="P63" s="51">
        <v>4255</v>
      </c>
      <c r="Q63" s="51"/>
      <c r="R63" s="52"/>
      <c r="S63" s="114">
        <f>SUM(O63:R63)</f>
        <v>4255</v>
      </c>
      <c r="T63" s="115">
        <f>N63+I63+S63</f>
        <v>17720</v>
      </c>
      <c r="U63" s="97">
        <f t="shared" si="17"/>
        <v>0.010618585125162845</v>
      </c>
      <c r="AP63" s="18"/>
    </row>
    <row r="64" spans="1:42" s="110" customFormat="1" ht="30" customHeight="1">
      <c r="A64" s="111">
        <v>3</v>
      </c>
      <c r="B64" s="112" t="s">
        <v>72</v>
      </c>
      <c r="C64" s="112" t="s">
        <v>77</v>
      </c>
      <c r="D64" s="113" t="s">
        <v>78</v>
      </c>
      <c r="E64" s="108">
        <v>8610</v>
      </c>
      <c r="F64" s="108">
        <v>5675</v>
      </c>
      <c r="G64" s="108">
        <v>0</v>
      </c>
      <c r="H64" s="108">
        <v>0</v>
      </c>
      <c r="I64" s="96">
        <f t="shared" si="13"/>
        <v>14285</v>
      </c>
      <c r="J64" s="50">
        <v>7840</v>
      </c>
      <c r="K64" s="51">
        <v>9790</v>
      </c>
      <c r="L64" s="51">
        <v>6340</v>
      </c>
      <c r="M64" s="52">
        <v>0</v>
      </c>
      <c r="N64" s="114">
        <f t="shared" si="14"/>
        <v>23970</v>
      </c>
      <c r="O64" s="50">
        <v>7840</v>
      </c>
      <c r="P64" s="51">
        <v>5290</v>
      </c>
      <c r="Q64" s="51">
        <v>11340</v>
      </c>
      <c r="R64" s="52">
        <v>0</v>
      </c>
      <c r="S64" s="114">
        <f t="shared" si="15"/>
        <v>24470</v>
      </c>
      <c r="T64" s="115">
        <f t="shared" si="16"/>
        <v>62725</v>
      </c>
      <c r="U64" s="97">
        <f t="shared" si="17"/>
        <v>0.037587514219855504</v>
      </c>
      <c r="AP64" s="18"/>
    </row>
    <row r="65" spans="1:42" s="110" customFormat="1" ht="11.25">
      <c r="A65" s="117">
        <v>4</v>
      </c>
      <c r="B65" s="112" t="s">
        <v>24</v>
      </c>
      <c r="C65" s="118" t="s">
        <v>25</v>
      </c>
      <c r="D65" s="113" t="s">
        <v>79</v>
      </c>
      <c r="E65" s="108">
        <v>65008</v>
      </c>
      <c r="F65" s="108">
        <f>86444-3490</f>
        <v>82954</v>
      </c>
      <c r="G65" s="108">
        <v>98603.04</v>
      </c>
      <c r="H65" s="108">
        <v>5394</v>
      </c>
      <c r="I65" s="96">
        <f t="shared" si="13"/>
        <v>251959.03999999998</v>
      </c>
      <c r="J65" s="50">
        <v>46123</v>
      </c>
      <c r="K65" s="51">
        <f>57472+4950</f>
        <v>62422</v>
      </c>
      <c r="L65" s="51">
        <v>93272</v>
      </c>
      <c r="M65" s="52">
        <f>27099+7890</f>
        <v>34989</v>
      </c>
      <c r="N65" s="114">
        <f t="shared" si="14"/>
        <v>236806</v>
      </c>
      <c r="O65" s="50">
        <v>64029</v>
      </c>
      <c r="P65" s="51">
        <f>91774+9000+7440</f>
        <v>108214</v>
      </c>
      <c r="Q65" s="51">
        <v>78545</v>
      </c>
      <c r="R65" s="52">
        <v>10134</v>
      </c>
      <c r="S65" s="114">
        <f t="shared" si="15"/>
        <v>260922</v>
      </c>
      <c r="T65" s="115">
        <f>N65+I65+S65</f>
        <v>749687.04</v>
      </c>
      <c r="U65" s="97">
        <f t="shared" si="17"/>
        <v>0.44924467559093473</v>
      </c>
      <c r="AP65" s="18"/>
    </row>
    <row r="66" spans="1:42" s="110" customFormat="1" ht="11.25">
      <c r="A66" s="111">
        <v>5</v>
      </c>
      <c r="B66" s="112" t="s">
        <v>72</v>
      </c>
      <c r="C66" s="112" t="s">
        <v>80</v>
      </c>
      <c r="D66" s="113" t="s">
        <v>74</v>
      </c>
      <c r="E66" s="108">
        <v>15337.5</v>
      </c>
      <c r="F66" s="108">
        <v>10130</v>
      </c>
      <c r="G66" s="108">
        <v>11117.5</v>
      </c>
      <c r="H66" s="108">
        <v>0</v>
      </c>
      <c r="I66" s="96">
        <f t="shared" si="13"/>
        <v>36585</v>
      </c>
      <c r="J66" s="50">
        <v>7905</v>
      </c>
      <c r="K66" s="51">
        <v>14585</v>
      </c>
      <c r="L66" s="51">
        <v>6170</v>
      </c>
      <c r="M66" s="52">
        <v>3085</v>
      </c>
      <c r="N66" s="114">
        <f t="shared" si="14"/>
        <v>31745</v>
      </c>
      <c r="O66" s="50">
        <v>23085</v>
      </c>
      <c r="P66" s="51">
        <v>12085</v>
      </c>
      <c r="Q66" s="51">
        <v>3085</v>
      </c>
      <c r="R66" s="52">
        <v>3085</v>
      </c>
      <c r="S66" s="114">
        <f t="shared" si="15"/>
        <v>41340</v>
      </c>
      <c r="T66" s="115">
        <f>N66+I66+S66</f>
        <v>109670</v>
      </c>
      <c r="U66" s="97">
        <f t="shared" si="17"/>
        <v>0.0657189746431495</v>
      </c>
      <c r="AP66" s="116"/>
    </row>
    <row r="67" spans="1:42" s="110" customFormat="1" ht="16.5" customHeight="1">
      <c r="A67" s="111">
        <v>6</v>
      </c>
      <c r="B67" s="112" t="s">
        <v>72</v>
      </c>
      <c r="C67" s="112" t="s">
        <v>81</v>
      </c>
      <c r="D67" s="113" t="s">
        <v>82</v>
      </c>
      <c r="E67" s="119">
        <v>2669</v>
      </c>
      <c r="F67" s="51">
        <v>9235</v>
      </c>
      <c r="G67" s="51">
        <v>10900</v>
      </c>
      <c r="H67" s="52">
        <v>1860</v>
      </c>
      <c r="I67" s="96">
        <f t="shared" si="13"/>
        <v>24664</v>
      </c>
      <c r="J67" s="50">
        <v>1000</v>
      </c>
      <c r="K67" s="51">
        <v>6160</v>
      </c>
      <c r="L67" s="51">
        <v>2325</v>
      </c>
      <c r="M67" s="52">
        <v>0</v>
      </c>
      <c r="N67" s="114">
        <f t="shared" si="14"/>
        <v>9485</v>
      </c>
      <c r="O67" s="50">
        <v>1000</v>
      </c>
      <c r="P67" s="51">
        <v>4440</v>
      </c>
      <c r="Q67" s="51">
        <v>2325</v>
      </c>
      <c r="R67" s="52">
        <v>0</v>
      </c>
      <c r="S67" s="114">
        <f t="shared" si="15"/>
        <v>7765</v>
      </c>
      <c r="T67" s="115">
        <f t="shared" si="16"/>
        <v>41914</v>
      </c>
      <c r="U67" s="97">
        <f t="shared" si="17"/>
        <v>0.025116669127318032</v>
      </c>
      <c r="AP67" s="18"/>
    </row>
    <row r="68" spans="1:42" s="110" customFormat="1" ht="12" thickBot="1">
      <c r="A68" s="117">
        <v>7</v>
      </c>
      <c r="B68" s="118" t="s">
        <v>72</v>
      </c>
      <c r="C68" s="118" t="s">
        <v>83</v>
      </c>
      <c r="D68" s="113" t="s">
        <v>84</v>
      </c>
      <c r="E68" s="120">
        <v>6700</v>
      </c>
      <c r="F68" s="121">
        <v>13500</v>
      </c>
      <c r="G68" s="121">
        <v>0</v>
      </c>
      <c r="H68" s="122">
        <v>0</v>
      </c>
      <c r="I68" s="123">
        <f t="shared" si="13"/>
        <v>20200</v>
      </c>
      <c r="J68" s="124">
        <v>0</v>
      </c>
      <c r="K68" s="121">
        <v>0</v>
      </c>
      <c r="L68" s="121">
        <v>0</v>
      </c>
      <c r="M68" s="122">
        <v>0</v>
      </c>
      <c r="N68" s="125">
        <f t="shared" si="14"/>
        <v>0</v>
      </c>
      <c r="O68" s="124">
        <v>0</v>
      </c>
      <c r="P68" s="121"/>
      <c r="Q68" s="121"/>
      <c r="R68" s="122"/>
      <c r="S68" s="125">
        <f t="shared" si="15"/>
        <v>0</v>
      </c>
      <c r="T68" s="126">
        <f t="shared" si="16"/>
        <v>20200</v>
      </c>
      <c r="U68" s="127">
        <f t="shared" si="17"/>
        <v>0.012104707648323335</v>
      </c>
      <c r="AP68" s="18"/>
    </row>
    <row r="69" spans="1:42" s="73" customFormat="1" ht="21" customHeight="1" thickBot="1">
      <c r="A69" s="128"/>
      <c r="B69" s="129"/>
      <c r="C69" s="129"/>
      <c r="D69" s="67" t="s">
        <v>54</v>
      </c>
      <c r="E69" s="130">
        <f>SUM(E61:E68)</f>
        <v>170349.5</v>
      </c>
      <c r="F69" s="130">
        <f aca="true" t="shared" si="18" ref="F69:T69">SUM(F61:F68)</f>
        <v>162429</v>
      </c>
      <c r="G69" s="130">
        <f t="shared" si="18"/>
        <v>159160.53999999998</v>
      </c>
      <c r="H69" s="130">
        <f t="shared" si="18"/>
        <v>86999</v>
      </c>
      <c r="I69" s="130">
        <f t="shared" si="18"/>
        <v>578938.04</v>
      </c>
      <c r="J69" s="130">
        <f t="shared" si="18"/>
        <v>132560.072</v>
      </c>
      <c r="K69" s="130">
        <f t="shared" si="18"/>
        <v>244572</v>
      </c>
      <c r="L69" s="130">
        <f t="shared" si="18"/>
        <v>108107</v>
      </c>
      <c r="M69" s="130">
        <f t="shared" si="18"/>
        <v>106874</v>
      </c>
      <c r="N69" s="130">
        <f t="shared" si="18"/>
        <v>592113.0719999999</v>
      </c>
      <c r="O69" s="130">
        <f t="shared" si="18"/>
        <v>172209.12</v>
      </c>
      <c r="P69" s="130">
        <f t="shared" si="18"/>
        <v>148198</v>
      </c>
      <c r="Q69" s="130">
        <f t="shared" si="18"/>
        <v>95295</v>
      </c>
      <c r="R69" s="130">
        <f t="shared" si="18"/>
        <v>82019</v>
      </c>
      <c r="S69" s="130">
        <f t="shared" si="18"/>
        <v>497721.12</v>
      </c>
      <c r="T69" s="131">
        <f t="shared" si="18"/>
        <v>1668772.232</v>
      </c>
      <c r="U69" s="132">
        <f>IF(T69&gt;0,(T69/$T$69),"")</f>
        <v>1</v>
      </c>
      <c r="AP69" s="18"/>
    </row>
    <row r="70" spans="1:42" s="79" customFormat="1" ht="31.5" customHeight="1">
      <c r="A70" s="261" t="s">
        <v>66</v>
      </c>
      <c r="B70" s="262"/>
      <c r="C70" s="262"/>
      <c r="D70" s="263"/>
      <c r="E70" s="154">
        <f>E51-E69</f>
        <v>0</v>
      </c>
      <c r="F70" s="154">
        <f>F51-F69</f>
        <v>0</v>
      </c>
      <c r="G70" s="154">
        <f>G51-G69</f>
        <v>0</v>
      </c>
      <c r="H70" s="154">
        <f>H51-H69</f>
        <v>0</v>
      </c>
      <c r="I70" s="77"/>
      <c r="J70" s="77"/>
      <c r="K70" s="77"/>
      <c r="L70" s="77"/>
      <c r="M70" s="77"/>
      <c r="N70" s="77"/>
      <c r="O70" s="77"/>
      <c r="P70" s="77"/>
      <c r="Q70" s="77"/>
      <c r="R70" s="77"/>
      <c r="S70" s="77"/>
      <c r="T70" s="77"/>
      <c r="AP70" s="18"/>
    </row>
    <row r="71" spans="1:42" s="79" customFormat="1" ht="11.25">
      <c r="A71" s="264"/>
      <c r="B71" s="265"/>
      <c r="C71" s="265"/>
      <c r="D71" s="266"/>
      <c r="AP71" s="18"/>
    </row>
    <row r="72" spans="1:42" s="79" customFormat="1" ht="11.25">
      <c r="A72" s="16" t="s">
        <v>85</v>
      </c>
      <c r="B72" s="75"/>
      <c r="C72" s="75"/>
      <c r="D72" s="78"/>
      <c r="AP72" s="18"/>
    </row>
    <row r="73" spans="2:42" s="1" customFormat="1" ht="11.25">
      <c r="B73" s="16"/>
      <c r="C73" s="16"/>
      <c r="D73" s="16"/>
      <c r="AP73" s="133"/>
    </row>
    <row r="74" spans="1:4" s="1" customFormat="1" ht="11.25">
      <c r="A74" s="134"/>
      <c r="B74" s="2"/>
      <c r="C74" s="135"/>
      <c r="D74" s="2"/>
    </row>
    <row r="75" spans="1:8" s="1" customFormat="1" ht="11.25">
      <c r="A75" s="136"/>
      <c r="C75" s="4"/>
      <c r="E75" s="4"/>
      <c r="F75" s="4"/>
      <c r="G75" s="5"/>
      <c r="H75" s="5"/>
    </row>
    <row r="76" spans="3:21" s="1" customFormat="1" ht="11.25">
      <c r="C76" s="4"/>
      <c r="E76" s="137"/>
      <c r="F76" s="137"/>
      <c r="G76" s="137"/>
      <c r="H76" s="137"/>
      <c r="I76" s="137"/>
      <c r="J76" s="137"/>
      <c r="K76" s="137"/>
      <c r="L76" s="137"/>
      <c r="M76" s="137"/>
      <c r="N76" s="137"/>
      <c r="O76" s="137"/>
      <c r="P76" s="137"/>
      <c r="Q76" s="137"/>
      <c r="R76" s="137"/>
      <c r="S76" s="137"/>
      <c r="T76" s="137"/>
      <c r="U76" s="137"/>
    </row>
    <row r="77" spans="3:21" s="1" customFormat="1" ht="11.25">
      <c r="C77" s="4"/>
      <c r="E77" s="137"/>
      <c r="F77" s="137"/>
      <c r="G77" s="137"/>
      <c r="H77" s="137"/>
      <c r="I77" s="137"/>
      <c r="J77" s="137"/>
      <c r="K77" s="137"/>
      <c r="L77" s="137"/>
      <c r="M77" s="137"/>
      <c r="N77" s="137"/>
      <c r="O77" s="137"/>
      <c r="P77" s="137"/>
      <c r="Q77" s="137"/>
      <c r="R77" s="137"/>
      <c r="S77" s="137"/>
      <c r="T77" s="137"/>
      <c r="U77" s="137"/>
    </row>
    <row r="78" spans="3:21" s="1" customFormat="1" ht="11.25">
      <c r="C78" s="4"/>
      <c r="E78" s="137"/>
      <c r="F78" s="137"/>
      <c r="G78" s="137"/>
      <c r="H78" s="137"/>
      <c r="I78" s="137"/>
      <c r="J78" s="137"/>
      <c r="K78" s="137"/>
      <c r="L78" s="137"/>
      <c r="M78" s="137"/>
      <c r="N78" s="137"/>
      <c r="O78" s="137"/>
      <c r="P78" s="137"/>
      <c r="Q78" s="137"/>
      <c r="R78" s="137"/>
      <c r="S78" s="137"/>
      <c r="T78" s="137"/>
      <c r="U78" s="137"/>
    </row>
    <row r="79" spans="3:42" s="1" customFormat="1" ht="11.25">
      <c r="C79" s="4"/>
      <c r="E79" s="4"/>
      <c r="F79" s="4"/>
      <c r="G79" s="5"/>
      <c r="H79" s="5"/>
      <c r="J79" s="138"/>
      <c r="K79" s="138"/>
      <c r="L79" s="138"/>
      <c r="M79" s="138"/>
      <c r="N79" s="137"/>
      <c r="O79" s="137"/>
      <c r="P79" s="137"/>
      <c r="Q79" s="137"/>
      <c r="R79" s="137"/>
      <c r="S79" s="137"/>
      <c r="T79" s="137"/>
      <c r="U79" s="137"/>
      <c r="AP79" s="116"/>
    </row>
    <row r="80" spans="1:42" s="1" customFormat="1" ht="11.25">
      <c r="A80" s="139"/>
      <c r="C80" s="4"/>
      <c r="E80" s="4"/>
      <c r="F80" s="4"/>
      <c r="G80" s="5"/>
      <c r="H80" s="5"/>
      <c r="J80" s="138"/>
      <c r="K80" s="138"/>
      <c r="L80" s="138"/>
      <c r="M80" s="138"/>
      <c r="N80" s="137"/>
      <c r="O80" s="137"/>
      <c r="P80" s="137"/>
      <c r="Q80" s="137"/>
      <c r="R80" s="137"/>
      <c r="S80" s="137"/>
      <c r="T80" s="137"/>
      <c r="U80" s="137"/>
      <c r="AP80" s="116"/>
    </row>
    <row r="81" spans="1:42" s="1" customFormat="1" ht="11.25">
      <c r="A81" s="139"/>
      <c r="C81" s="4"/>
      <c r="E81" s="4"/>
      <c r="F81" s="4"/>
      <c r="G81" s="5"/>
      <c r="H81" s="5"/>
      <c r="J81" s="138"/>
      <c r="K81" s="138"/>
      <c r="L81" s="138"/>
      <c r="M81" s="138"/>
      <c r="N81" s="137"/>
      <c r="O81" s="137"/>
      <c r="P81" s="137"/>
      <c r="Q81" s="137"/>
      <c r="R81" s="137"/>
      <c r="S81" s="137"/>
      <c r="T81" s="137"/>
      <c r="U81" s="137"/>
      <c r="AP81" s="116"/>
    </row>
    <row r="82" spans="2:42" s="1" customFormat="1" ht="11.25">
      <c r="B82" s="4"/>
      <c r="C82" s="4"/>
      <c r="E82" s="4"/>
      <c r="F82" s="4"/>
      <c r="G82" s="5"/>
      <c r="H82" s="5"/>
      <c r="AP82" s="18"/>
    </row>
    <row r="83" spans="2:42" s="1" customFormat="1" ht="11.25">
      <c r="B83" s="4"/>
      <c r="C83" s="4"/>
      <c r="E83" s="4"/>
      <c r="F83" s="4"/>
      <c r="G83" s="5"/>
      <c r="H83" s="5"/>
      <c r="AP83" s="18"/>
    </row>
    <row r="84" spans="2:42" s="1" customFormat="1" ht="11.25">
      <c r="B84" s="4"/>
      <c r="C84" s="4"/>
      <c r="E84" s="4"/>
      <c r="F84" s="4"/>
      <c r="G84" s="5"/>
      <c r="H84" s="5"/>
      <c r="AP84" s="18"/>
    </row>
    <row r="85" spans="2:42" s="1" customFormat="1" ht="11.25">
      <c r="B85" s="4"/>
      <c r="C85" s="4"/>
      <c r="E85" s="4"/>
      <c r="F85" s="4"/>
      <c r="G85" s="5"/>
      <c r="H85" s="5"/>
      <c r="AP85" s="18"/>
    </row>
    <row r="86" spans="2:42" s="1" customFormat="1" ht="11.25">
      <c r="B86" s="4"/>
      <c r="C86" s="4"/>
      <c r="E86" s="4"/>
      <c r="F86" s="4"/>
      <c r="G86" s="5"/>
      <c r="H86" s="5"/>
      <c r="AP86" s="18"/>
    </row>
    <row r="87" spans="2:42" s="1" customFormat="1" ht="11.25">
      <c r="B87" s="4"/>
      <c r="C87" s="4"/>
      <c r="E87" s="4"/>
      <c r="F87" s="4"/>
      <c r="G87" s="5"/>
      <c r="H87" s="5"/>
      <c r="AP87" s="18"/>
    </row>
    <row r="88" spans="2:42" s="1" customFormat="1" ht="11.25">
      <c r="B88" s="4"/>
      <c r="C88" s="4"/>
      <c r="E88" s="4"/>
      <c r="F88" s="4"/>
      <c r="G88" s="5"/>
      <c r="H88" s="5"/>
      <c r="AP88" s="18"/>
    </row>
    <row r="89" spans="2:42" s="1" customFormat="1" ht="11.25">
      <c r="B89" s="4"/>
      <c r="C89" s="4"/>
      <c r="E89" s="4"/>
      <c r="F89" s="4"/>
      <c r="G89" s="5"/>
      <c r="H89" s="5"/>
      <c r="AP89" s="18"/>
    </row>
    <row r="90" spans="2:42" s="1" customFormat="1" ht="11.25">
      <c r="B90" s="4"/>
      <c r="C90" s="4"/>
      <c r="E90" s="4"/>
      <c r="F90" s="4"/>
      <c r="G90" s="5"/>
      <c r="H90" s="5"/>
      <c r="AP90" s="18"/>
    </row>
    <row r="91" spans="2:42" s="1" customFormat="1" ht="11.25">
      <c r="B91" s="4"/>
      <c r="C91" s="4"/>
      <c r="E91" s="4"/>
      <c r="F91" s="4"/>
      <c r="G91" s="5"/>
      <c r="H91" s="5"/>
      <c r="AP91" s="18"/>
    </row>
    <row r="92" spans="2:42" s="1" customFormat="1" ht="11.25">
      <c r="B92" s="4"/>
      <c r="C92" s="4"/>
      <c r="E92" s="4"/>
      <c r="F92" s="4"/>
      <c r="G92" s="5"/>
      <c r="H92" s="5"/>
      <c r="AP92" s="18"/>
    </row>
    <row r="93" spans="2:42" s="1" customFormat="1" ht="11.25">
      <c r="B93" s="4"/>
      <c r="C93" s="4"/>
      <c r="E93" s="4"/>
      <c r="F93" s="4"/>
      <c r="G93" s="5"/>
      <c r="H93" s="5"/>
      <c r="AP93" s="18"/>
    </row>
    <row r="94" spans="2:42" s="1" customFormat="1" ht="11.25">
      <c r="B94" s="4"/>
      <c r="C94" s="4"/>
      <c r="E94" s="4"/>
      <c r="F94" s="4"/>
      <c r="G94" s="5"/>
      <c r="H94" s="5"/>
      <c r="AP94" s="18"/>
    </row>
    <row r="95" spans="2:42" s="1" customFormat="1" ht="11.25">
      <c r="B95" s="4"/>
      <c r="C95" s="4"/>
      <c r="E95" s="4"/>
      <c r="F95" s="4"/>
      <c r="G95" s="5"/>
      <c r="H95" s="5"/>
      <c r="AP95" s="18"/>
    </row>
    <row r="96" spans="2:42" s="1" customFormat="1" ht="11.25">
      <c r="B96" s="4"/>
      <c r="C96" s="4"/>
      <c r="E96" s="4"/>
      <c r="F96" s="4"/>
      <c r="G96" s="5"/>
      <c r="H96" s="5"/>
      <c r="AP96" s="18"/>
    </row>
    <row r="97" spans="2:42" s="1" customFormat="1" ht="11.25">
      <c r="B97" s="4"/>
      <c r="C97" s="4"/>
      <c r="E97" s="4"/>
      <c r="F97" s="4"/>
      <c r="G97" s="5"/>
      <c r="H97" s="5"/>
      <c r="AP97" s="18"/>
    </row>
    <row r="98" spans="2:42" s="1" customFormat="1" ht="11.25">
      <c r="B98" s="4"/>
      <c r="C98" s="4"/>
      <c r="E98" s="4"/>
      <c r="F98" s="4"/>
      <c r="G98" s="5"/>
      <c r="H98" s="5"/>
      <c r="AP98" s="18"/>
    </row>
    <row r="99" spans="2:42" s="1" customFormat="1" ht="11.25">
      <c r="B99" s="4"/>
      <c r="C99" s="4"/>
      <c r="E99" s="4"/>
      <c r="F99" s="4"/>
      <c r="G99" s="5"/>
      <c r="H99" s="5"/>
      <c r="AP99" s="18"/>
    </row>
    <row r="100" spans="2:42" s="1" customFormat="1" ht="11.25">
      <c r="B100" s="4"/>
      <c r="C100" s="4"/>
      <c r="E100" s="4"/>
      <c r="F100" s="4"/>
      <c r="G100" s="5"/>
      <c r="H100" s="5"/>
      <c r="AP100" s="18"/>
    </row>
    <row r="101" spans="2:42" s="1" customFormat="1" ht="11.25">
      <c r="B101" s="4"/>
      <c r="C101" s="4"/>
      <c r="E101" s="4"/>
      <c r="F101" s="4"/>
      <c r="G101" s="5"/>
      <c r="H101" s="5"/>
      <c r="AP101" s="18"/>
    </row>
    <row r="102" spans="2:42" s="1" customFormat="1" ht="11.25">
      <c r="B102" s="4"/>
      <c r="C102" s="4"/>
      <c r="E102" s="4"/>
      <c r="F102" s="4"/>
      <c r="G102" s="5"/>
      <c r="H102" s="5"/>
      <c r="AP102" s="18"/>
    </row>
    <row r="103" spans="2:42" s="1" customFormat="1" ht="11.25">
      <c r="B103" s="4"/>
      <c r="C103" s="4"/>
      <c r="E103" s="4"/>
      <c r="F103" s="4"/>
      <c r="G103" s="5"/>
      <c r="H103" s="5"/>
      <c r="AP103" s="18"/>
    </row>
    <row r="104" spans="2:42" s="1" customFormat="1" ht="11.25">
      <c r="B104" s="4"/>
      <c r="C104" s="4"/>
      <c r="E104" s="4"/>
      <c r="F104" s="4"/>
      <c r="G104" s="5"/>
      <c r="H104" s="5"/>
      <c r="AP104" s="18"/>
    </row>
    <row r="105" ht="12.75">
      <c r="AP105" s="142"/>
    </row>
    <row r="106" ht="12.75">
      <c r="AP106" s="142"/>
    </row>
    <row r="107" ht="12.75">
      <c r="AP107" s="142"/>
    </row>
    <row r="108" ht="12.75">
      <c r="AP108" s="142"/>
    </row>
    <row r="109" ht="12.75">
      <c r="AP109" s="142"/>
    </row>
    <row r="110" ht="12.75">
      <c r="AP110" s="142"/>
    </row>
    <row r="111" ht="12.75">
      <c r="AP111" s="142"/>
    </row>
    <row r="112" ht="12.75">
      <c r="AP112" s="142"/>
    </row>
    <row r="113" ht="12.75">
      <c r="AP113" s="142"/>
    </row>
    <row r="114" ht="12.75">
      <c r="AP114" s="142"/>
    </row>
    <row r="115" ht="12.75">
      <c r="AP115" s="142"/>
    </row>
    <row r="116" ht="12.75">
      <c r="AP116" s="142"/>
    </row>
    <row r="117" ht="12.75">
      <c r="AP117" s="142"/>
    </row>
    <row r="118" ht="12.75">
      <c r="AP118" s="142"/>
    </row>
    <row r="119" ht="12.75">
      <c r="AP119" s="142"/>
    </row>
    <row r="120" ht="12.75">
      <c r="AP120" s="142"/>
    </row>
    <row r="121" ht="12.75">
      <c r="AP121" s="142"/>
    </row>
    <row r="122" ht="12.75">
      <c r="AP122" s="142"/>
    </row>
    <row r="123" ht="12.75">
      <c r="AP123" s="142"/>
    </row>
    <row r="124" ht="12.75">
      <c r="AP124" s="142"/>
    </row>
    <row r="125" ht="12.75">
      <c r="AP125" s="142"/>
    </row>
    <row r="126" ht="12.75">
      <c r="AP126" s="142"/>
    </row>
    <row r="127" ht="12.75">
      <c r="AP127" s="142"/>
    </row>
    <row r="128" ht="12.75">
      <c r="AP128" s="142"/>
    </row>
    <row r="129" ht="12.75">
      <c r="AP129" s="142"/>
    </row>
    <row r="130" ht="12.75">
      <c r="AP130" s="142"/>
    </row>
    <row r="131" ht="12.75">
      <c r="AP131" s="142"/>
    </row>
    <row r="132" ht="12.75">
      <c r="AP132" s="142"/>
    </row>
    <row r="133" ht="12.75">
      <c r="AP133" s="142"/>
    </row>
    <row r="134" ht="12.75">
      <c r="AP134" s="142"/>
    </row>
    <row r="135" ht="12.75">
      <c r="AP135" s="142"/>
    </row>
    <row r="136" ht="12.75">
      <c r="AP136" s="142"/>
    </row>
    <row r="137" ht="12.75">
      <c r="AP137" s="142"/>
    </row>
    <row r="138" ht="12.75">
      <c r="AP138" s="142"/>
    </row>
    <row r="139" ht="12.75">
      <c r="AP139" s="142"/>
    </row>
    <row r="140" ht="12.75">
      <c r="AP140" s="142"/>
    </row>
    <row r="141" ht="12.75">
      <c r="AP141" s="142"/>
    </row>
    <row r="142" ht="12.75">
      <c r="AP142" s="142"/>
    </row>
    <row r="143" ht="12.75">
      <c r="AP143" s="142"/>
    </row>
    <row r="144" ht="12.75">
      <c r="AP144" s="142"/>
    </row>
    <row r="145" ht="12.75">
      <c r="AP145" s="142"/>
    </row>
    <row r="146" ht="12.75">
      <c r="AP146" s="142"/>
    </row>
    <row r="147" ht="12.75">
      <c r="AP147" s="142"/>
    </row>
    <row r="148" ht="12.75">
      <c r="AP148" s="142"/>
    </row>
    <row r="149" ht="12.75">
      <c r="AP149" s="142"/>
    </row>
    <row r="150" ht="12.75">
      <c r="AP150" s="142"/>
    </row>
    <row r="151" ht="12.75">
      <c r="AP151" s="142"/>
    </row>
  </sheetData>
  <sheetProtection/>
  <mergeCells count="58">
    <mergeCell ref="A51:D51"/>
    <mergeCell ref="A52:D54"/>
    <mergeCell ref="A70:D71"/>
    <mergeCell ref="A59:A60"/>
    <mergeCell ref="B59:B60"/>
    <mergeCell ref="C59:C60"/>
    <mergeCell ref="D59:D60"/>
    <mergeCell ref="O59:R59"/>
    <mergeCell ref="S59:S60"/>
    <mergeCell ref="E59:H59"/>
    <mergeCell ref="J59:M59"/>
    <mergeCell ref="E35:H35"/>
    <mergeCell ref="J35:M35"/>
    <mergeCell ref="O35:R35"/>
    <mergeCell ref="S35:S36"/>
    <mergeCell ref="B30:D30"/>
    <mergeCell ref="A31:C31"/>
    <mergeCell ref="A35:A36"/>
    <mergeCell ref="B35:B36"/>
    <mergeCell ref="C35:C36"/>
    <mergeCell ref="D35:D36"/>
    <mergeCell ref="B27:D27"/>
    <mergeCell ref="B28:D28"/>
    <mergeCell ref="B29:D29"/>
    <mergeCell ref="B22:D22"/>
    <mergeCell ref="B23:D23"/>
    <mergeCell ref="B24:D24"/>
    <mergeCell ref="B25:D25"/>
    <mergeCell ref="B26:D26"/>
    <mergeCell ref="B18:D18"/>
    <mergeCell ref="B19:D19"/>
    <mergeCell ref="B20:D20"/>
    <mergeCell ref="B21:D21"/>
    <mergeCell ref="S16:S17"/>
    <mergeCell ref="A8:B8"/>
    <mergeCell ref="C8:D8"/>
    <mergeCell ref="A9:B9"/>
    <mergeCell ref="C9:D9"/>
    <mergeCell ref="E9:S9"/>
    <mergeCell ref="A11:D11"/>
    <mergeCell ref="A12:D12"/>
    <mergeCell ref="A16:A17"/>
    <mergeCell ref="B16:D17"/>
    <mergeCell ref="A6:B6"/>
    <mergeCell ref="C6:D6"/>
    <mergeCell ref="J16:M16"/>
    <mergeCell ref="O16:R16"/>
    <mergeCell ref="E16:H16"/>
    <mergeCell ref="A7:B7"/>
    <mergeCell ref="C7:D7"/>
    <mergeCell ref="A1:D1"/>
    <mergeCell ref="E1:I1"/>
    <mergeCell ref="A2:C2"/>
    <mergeCell ref="A3:B3"/>
    <mergeCell ref="A4:B4"/>
    <mergeCell ref="C4:D4"/>
    <mergeCell ref="A5:B5"/>
    <mergeCell ref="C5:D5"/>
  </mergeCells>
  <conditionalFormatting sqref="E31:T31">
    <cfRule type="expression" priority="6" dxfId="0" stopIfTrue="1">
      <formula>(E31-E$51)&gt;=0.51</formula>
    </cfRule>
    <cfRule type="expression" priority="7" dxfId="0" stopIfTrue="1">
      <formula>(E$51-E31)&gt;0.51</formula>
    </cfRule>
  </conditionalFormatting>
  <conditionalFormatting sqref="E51:S51">
    <cfRule type="expression" priority="4" dxfId="0" stopIfTrue="1">
      <formula>(E51-E$31)&gt;=0.51</formula>
    </cfRule>
    <cfRule type="expression" priority="5" dxfId="0" stopIfTrue="1">
      <formula>(E$31-E51)&gt;=0.51</formula>
    </cfRule>
  </conditionalFormatting>
  <conditionalFormatting sqref="U62:U69 U19:U31 U38:U51">
    <cfRule type="cellIs" priority="3" dxfId="2" operator="equal" stopIfTrue="1">
      <formula>$W$5</formula>
    </cfRule>
  </conditionalFormatting>
  <conditionalFormatting sqref="E69:T69">
    <cfRule type="expression" priority="1" dxfId="0" stopIfTrue="1">
      <formula>(E$69-E$31)&gt;=0.99</formula>
    </cfRule>
    <cfRule type="expression" priority="2" dxfId="0" stopIfTrue="1">
      <formula>(E$69-E$31)&lt;=-0.99</formula>
    </cfRule>
  </conditionalFormatting>
  <dataValidations count="9">
    <dataValidation type="list" allowBlank="1" showErrorMessage="1" errorTitle="Invalid Data" error="You must select from the list only." sqref="B61:B68">
      <formula1>"Please Select …,PR,SR"</formula1>
    </dataValidation>
    <dataValidation type="custom" showInputMessage="1" showErrorMessage="1" sqref="S18:S30 N18:N30 S37:S50 N37:N50">
      <formula1>SUM(O18:R18)</formula1>
    </dataValidation>
    <dataValidation type="list" allowBlank="1" showInputMessage="1" showErrorMessage="1" sqref="C8:D8">
      <formula1>"Please Select …,Phase 1, Phase 2, Consolidated Phase 1, Consolidated Phase 2, RCC I,RCC II"</formula1>
    </dataValidation>
    <dataValidation type="list" allowBlank="1" showInputMessage="1" promptTitle="SDA" prompt="YOU MUST SELECT THE PROPER MACRO-CATEGORY BEFORE SELECTING AN SDA.&#10;&#10;Please select the most appropriate SDA from the list below. If an SDA in the attachment to the grant agreement is not present, you may type in the name of this SDA." sqref="D37:D50">
      <formula1>INDIRECT($E$1)</formula1>
    </dataValidation>
    <dataValidation type="list" allowBlank="1" showInputMessage="1" showErrorMessage="1" sqref="C7">
      <formula1>"Please Select …,USD,EURO"</formula1>
    </dataValidation>
    <dataValidation type="list" allowBlank="1" showInputMessage="1" showErrorMessage="1" sqref="E1">
      <formula1>$AQ$1:$AQ$7</formula1>
    </dataValidation>
    <dataValidation type="custom" showInputMessage="1" showErrorMessage="1" sqref="U37:U50">
      <formula1>T37/$T$31</formula1>
    </dataValidation>
    <dataValidation type="custom" showInputMessage="1" showErrorMessage="1" sqref="T37:T50">
      <formula1>SUM(I37,N37,S37)</formula1>
    </dataValidation>
    <dataValidation type="custom" showInputMessage="1" showErrorMessage="1" sqref="I37:I50">
      <formula1>SUM(E37:H37)</formula1>
    </dataValidation>
  </dataValidations>
  <printOptions/>
  <pageMargins left="0.7" right="0.7" top="0.2" bottom="0.18" header="0.3" footer="0.3"/>
  <pageSetup fitToHeight="1" fitToWidth="1" horizontalDpi="600" verticalDpi="600" orientation="landscape" paperSize="9" scale="44" r:id="rId3"/>
  <colBreaks count="1" manualBreakCount="1">
    <brk id="2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yeshi</dc:creator>
  <cp:keywords/>
  <dc:description/>
  <cp:lastModifiedBy>KinleyDorji</cp:lastModifiedBy>
  <cp:lastPrinted>2010-06-04T12:50:32Z</cp:lastPrinted>
  <dcterms:created xsi:type="dcterms:W3CDTF">2010-05-26T09:15:03Z</dcterms:created>
  <dcterms:modified xsi:type="dcterms:W3CDTF">2010-12-29T04:39:04Z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Grant ID">
    <vt:lpwstr/>
  </property>
  <property fmtid="{D5CDD505-2E9C-101B-9397-08002B2CF9AE}" pid="4" name="Country">
    <vt:lpwstr/>
  </property>
  <property fmtid="{D5CDD505-2E9C-101B-9397-08002B2CF9AE}" pid="5" name="Round">
    <vt:lpwstr/>
  </property>
  <property fmtid="{D5CDD505-2E9C-101B-9397-08002B2CF9AE}" pid="6" name="Document Language">
    <vt:lpwstr/>
  </property>
  <property fmtid="{D5CDD505-2E9C-101B-9397-08002B2CF9AE}" pid="7" name="GrantDocType">
    <vt:lpwstr/>
  </property>
  <property fmtid="{D5CDD505-2E9C-101B-9397-08002B2CF9AE}" pid="8" name="TemplateUrl">
    <vt:lpwstr/>
  </property>
  <property fmtid="{D5CDD505-2E9C-101B-9397-08002B2CF9AE}" pid="9" name="SubtType">
    <vt:lpwstr/>
  </property>
  <property fmtid="{D5CDD505-2E9C-101B-9397-08002B2CF9AE}" pid="10" name="gfGrant">
    <vt:lpwstr/>
  </property>
  <property fmtid="{D5CDD505-2E9C-101B-9397-08002B2CF9AE}" pid="11" name="IsFinal">
    <vt:lpwstr>NO</vt:lpwstr>
  </property>
  <property fmtid="{D5CDD505-2E9C-101B-9397-08002B2CF9AE}" pid="12" name="xd_ProgID">
    <vt:lpwstr/>
  </property>
  <property fmtid="{D5CDD505-2E9C-101B-9397-08002B2CF9AE}" pid="13" name="Order">
    <vt:lpwstr/>
  </property>
  <property fmtid="{D5CDD505-2E9C-101B-9397-08002B2CF9AE}" pid="14" name="MetaInfo">
    <vt:lpwstr/>
  </property>
  <property fmtid="{D5CDD505-2E9C-101B-9397-08002B2CF9AE}" pid="15" name="_SourceUrl">
    <vt:lpwstr/>
  </property>
</Properties>
</file>